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10" windowHeight="5670" activeTab="0"/>
  </bookViews>
  <sheets>
    <sheet name="ตาราง ป 1" sheetId="1" r:id="rId1"/>
    <sheet name="คะแนน" sheetId="2" r:id="rId2"/>
    <sheet name="ตาราง ป 2 " sheetId="3" r:id="rId3"/>
    <sheet name="ตาราว ป 3" sheetId="4" r:id="rId4"/>
    <sheet name="ตาราง ป 4" sheetId="5" r:id="rId5"/>
    <sheet name="ตาราง ป 5" sheetId="6" r:id="rId6"/>
  </sheets>
  <definedNames>
    <definedName name="_xlnm.Print_Area" localSheetId="1">'คะแนน'!$A$1:$V$50</definedName>
    <definedName name="_xlnm.Print_Area" localSheetId="0">'ตาราง ป 1'!$A$1:$O$102</definedName>
    <definedName name="_xlnm.Print_Area" localSheetId="2">'ตาราง ป 2 '!$A$1:$G$54</definedName>
    <definedName name="_xlnm.Print_Area" localSheetId="4">'ตาราง ป 4'!$A$1:$G$39</definedName>
    <definedName name="_xlnm.Print_Area" localSheetId="5">'ตาราง ป 5'!$A$1:$G$63</definedName>
    <definedName name="_xlnm.Print_Area" localSheetId="3">'ตาราว ป 3'!$A$1:$G$42</definedName>
    <definedName name="_xlnm.Print_Titles" localSheetId="1">'คะแนน'!$A:$B,'คะแนน'!$1:$3</definedName>
    <definedName name="_xlnm.Print_Titles" localSheetId="0">'ตาราง ป 1'!$2:$4</definedName>
  </definedNames>
  <calcPr fullCalcOnLoad="1"/>
</workbook>
</file>

<file path=xl/comments1.xml><?xml version="1.0" encoding="utf-8"?>
<comments xmlns="http://schemas.openxmlformats.org/spreadsheetml/2006/main">
  <authors>
    <author>svoa108</author>
    <author>BUUIC</author>
  </authors>
  <commentList>
    <comment ref="J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10"/>
            <rFont val="EucrosiaUPC"/>
            <family val="1"/>
          </rPr>
          <t>ทำไม่ครบ 8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</t>
        </r>
      </text>
    </comment>
    <comment ref="J1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1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39"/>
            <rFont val="EucrosiaUPC"/>
            <family val="1"/>
          </rPr>
          <t>ทำไม่ครบ 6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โดยเริ่มจากข้อที่เป็นเกณฑ์มาตรฐานทั่วไป (ข้อ 1 2 3 4 หรือ 5)</t>
        </r>
      </text>
    </comment>
    <comment ref="F1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39"/>
            <rFont val="EucrosiaUPC"/>
            <family val="1"/>
          </rPr>
          <t>ทำไม่ครบ 6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โดยเริ่มจากข้อที่เป็นเกณฑ์มาตรฐานทั่วไป (ข้อ 2 3 4 หรือ 5)</t>
        </r>
      </text>
    </comment>
    <comment ref="G1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39"/>
            <rFont val="EucrosiaUPC"/>
            <family val="1"/>
          </rPr>
          <t>ทำไม่ครบ 6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โดยเริ่มจากข้อที่เป็นเกณฑ์มาตรฐานทั่วไป (ข้อ 3 4 หรือ 5)</t>
        </r>
      </text>
    </comment>
    <comment ref="H1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39"/>
            <rFont val="EucrosiaUPC"/>
            <family val="1"/>
          </rPr>
          <t>ทำไม่ครบ 6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โดยเริ่มจากข้อที่เป็นเกณฑ์มาตรฐานทั่วไป (ข้อ 4 หรือ 5)</t>
        </r>
      </text>
    </comment>
    <comment ref="I1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39"/>
            <rFont val="EucrosiaUPC"/>
            <family val="1"/>
          </rPr>
          <t>ทำไม่ครบ 6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เรียงเลขข้อจากน้อยไปมาก</t>
        </r>
      </text>
    </comment>
    <comment ref="J1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1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F1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G1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H1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I1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J1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J2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J2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J2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2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F2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G2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H2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J3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3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F3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G3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H3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J4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4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F4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G4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H4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I4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J4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J4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X4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ให้ท่านใส่เลข </t>
        </r>
        <r>
          <rPr>
            <b/>
            <sz val="18"/>
            <color indexed="12"/>
            <rFont val="EucrosiaUPC"/>
            <family val="1"/>
          </rPr>
          <t>1 ถ้าทำในระดับคณะวิชา</t>
        </r>
        <r>
          <rPr>
            <b/>
            <sz val="18"/>
            <rFont val="EucrosiaUPC"/>
            <family val="1"/>
          </rPr>
          <t xml:space="preserve"> และใส่เลข </t>
        </r>
        <r>
          <rPr>
            <b/>
            <sz val="18"/>
            <color indexed="10"/>
            <rFont val="EucrosiaUPC"/>
            <family val="1"/>
          </rPr>
          <t>2</t>
        </r>
        <r>
          <rPr>
            <b/>
            <sz val="18"/>
            <rFont val="EucrosiaUPC"/>
            <family val="1"/>
          </rPr>
          <t xml:space="preserve"> </t>
        </r>
        <r>
          <rPr>
            <b/>
            <sz val="18"/>
            <color indexed="10"/>
            <rFont val="EucrosiaUPC"/>
            <family val="1"/>
          </rPr>
          <t>ถ้าทำในระดับสถาบัน</t>
        </r>
      </text>
    </comment>
    <comment ref="E4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F4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G4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H4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I4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J4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4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ถ้าทำไม่ครบ 8 ข้อ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ให้เริ่มจากข้อที่เป็นเกณฑ์มาตรฐานทั่วไป (ข้อ 1 2 3 4 5 6 หรือ 7)</t>
        </r>
      </text>
    </comment>
    <comment ref="F4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ถ้าทำไม่ครบ 8 ข้อ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ให้เริ่มจากข้อที่เป็นเกณฑ์มาตรฐานทั่วไป (ข้อ 2 3 4 5 6 หรือ 7)</t>
        </r>
      </text>
    </comment>
    <comment ref="G4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ถ้าทำไม่ครบ 8 ข้อ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ให้เริ่มจากข้อที่เป็นเกณฑ์มาตรฐานทั่วไป (ข้อ 3 4 5 6 หรือ 7)</t>
        </r>
      </text>
    </comment>
    <comment ref="H4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ถ้าทำไม่ครบ 8 ข้อ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ให้เริ่มจากข้อที่เป็นเกณฑ์มาตรฐานทั่วไป (ข้อ 4 5 6 หรือ 7)</t>
        </r>
      </text>
    </comment>
    <comment ref="I4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ถ้าทำไม่ครบ 8 ข้อ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ให้เริ่มจากข้อที่เป็นเกณฑ์มาตรฐานทั่วไป (ข้อ 5 6 หรือ 7)</t>
        </r>
      </text>
    </comment>
    <comment ref="J4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ถ้าทำไม่ครบ 8 ข้อ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ให้เริ่มจากข้อที่เป็นเกณฑ์มาตรฐานทั่วไป (ข้อ 6 หรือ 7)</t>
        </r>
      </text>
    </comment>
    <comment ref="K4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ถ้าทำไม่ครบ 8 ข้อ ให้ใส่เลขข้อที่ได้ดำเนินการ </t>
        </r>
        <r>
          <rPr>
            <b/>
            <sz val="18"/>
            <color indexed="10"/>
            <rFont val="EucrosiaUPC"/>
            <family val="1"/>
          </rPr>
          <t>เรียงเลขข้อจากน้อยไปมาก</t>
        </r>
      </text>
    </comment>
    <comment ref="J5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5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F5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G5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H5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BL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จำนวนอาจารย์ประจำคณะวิชาที่ 1-10</t>
        </r>
      </text>
    </comment>
    <comment ref="BM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จำนวนนักวิจัยคณะวิชาที่ 1-10</t>
        </r>
      </text>
    </comment>
    <comment ref="BN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ค่าคะแนนเฉลี่ยของคณะวิชาที่ 1-10</t>
        </r>
      </text>
    </comment>
    <comment ref="BL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จำนวนเงินสนับสนุนงานวิจัยหรืองานสร้างสรรค์จากภายในและภายนอกของคณะวิชาที่ 1-10</t>
        </r>
      </text>
    </comment>
    <comment ref="J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F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G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H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J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6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F6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G6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H6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BL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จำนวนอาจารย์ประจำคณะวิชาที่ 11-20</t>
        </r>
      </text>
    </comment>
    <comment ref="BM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จำนวนนักวิจัยคณะวิชาที่ 11-20</t>
        </r>
      </text>
    </comment>
    <comment ref="BN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ค่าคะแนนเฉลี่ยของคณะวิชาที่ 11-20</t>
        </r>
      </text>
    </comment>
    <comment ref="BL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จำนวนเงินสนับสนุนงานวิจัยหรืองานสร้างสรรค์จากภายในและภายนอกของคณะวิชาที่ 11-20</t>
        </r>
      </text>
    </comment>
    <comment ref="J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7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F7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G7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H7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I7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J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E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F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G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H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I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J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BL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จำนวนอาจารย์ประจำคณะวิชาที่ 21-30</t>
        </r>
      </text>
    </comment>
    <comment ref="BM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จำนวนนักวิจัยคณะวิชาที่ 21-30</t>
        </r>
      </text>
    </comment>
    <comment ref="BN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ค่าคะแนนเฉลี่ยของคณะวิชาที่ 21-30</t>
        </r>
      </text>
    </comment>
    <comment ref="J8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BL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จำนวนเงินสนับสนุนงานวิจัยหรืองานสร้างสรรค์จากภายในและภายนอกของคณะวิชาที่ 21-30</t>
        </r>
      </text>
    </comment>
    <comment ref="E8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F8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G8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H8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J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H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J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BL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จำนวนอาจารย์ประจำคณะวิชาที่ 31-40</t>
        </r>
      </text>
    </comment>
    <comment ref="BM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จำนวนนักวิจัยคณะวิชาที่ 31-40</t>
        </r>
      </text>
    </comment>
    <comment ref="BN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ค่าคะแนนเฉลี่ยของคณะวิชาที่ 31-40</t>
        </r>
      </text>
    </comment>
    <comment ref="I8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BL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จำนวนเงินสนับสนุนงานวิจัยหรืองานสร้างสรรค์จากภายในและภายนอกของคณะวิชาที่ 31-40</t>
        </r>
      </text>
    </comment>
    <comment ref="J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J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J9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ใส่แต่จำนวนตัวเลขข้อที่ดำเนินการได้ทั้งหมด</t>
        </r>
      </text>
    </comment>
    <comment ref="L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9 ข้อ ให้ใส่เลขข้อที่ได้ดำเนินการ</t>
        </r>
      </text>
    </comment>
    <comment ref="BL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จำนวนอาจารย์ประจำคณะวิชาที่ 41-50</t>
        </r>
      </text>
    </comment>
    <comment ref="BM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จำนวนนักวิจัยคณะวิชาที่ 41-50</t>
        </r>
      </text>
    </comment>
    <comment ref="BN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ค่าคะแนนเฉลี่ยของคณะวิชาที่ 41-50</t>
        </r>
      </text>
    </comment>
    <comment ref="BL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จำนวนเงินสนับสนุนงานวิจัยหรืองานสร้างสรรค์จากภายในและภายนอกของคณะวิชาที่ 41-50</t>
        </r>
      </text>
    </comment>
    <comment ref="K10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</t>
        </r>
      </text>
    </comment>
    <comment ref="K10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</t>
        </r>
      </text>
    </comment>
    <comment ref="BL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จำนวนอาจารย์ประจำคณะวิชาที่ 51-60</t>
        </r>
      </text>
    </comment>
    <comment ref="BM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จำนวนนักวิจัยคณะวิชาที่ 51-60</t>
        </r>
      </text>
    </comment>
    <comment ref="BN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ค่าคะแนนเฉลี่ยของคณะวิชาที่ 51-60</t>
        </r>
      </text>
    </comment>
    <comment ref="BL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จำนวนเงินสนับสนุนงานวิจัยหรืองานสร้างสรรค์จากภายในและภายนอกของคณะวิชาที่ 51-60</t>
        </r>
      </text>
    </comment>
    <comment ref="U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ค่าเฉลี่ยของคะแนนที่ได้ของทุกคณะวิชาในสถาบัน</t>
        </r>
      </text>
    </comment>
    <comment ref="V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</t>
        </r>
        <r>
          <rPr>
            <b/>
            <sz val="20"/>
            <color indexed="10"/>
            <rFont val="EucrosiaUPC"/>
            <family val="1"/>
          </rPr>
          <t>สถาบัน</t>
        </r>
      </text>
    </comment>
    <comment ref="X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</t>
        </r>
        <r>
          <rPr>
            <b/>
            <sz val="20"/>
            <color indexed="10"/>
            <rFont val="EucrosiaUPC"/>
            <family val="1"/>
          </rPr>
          <t>สถาบัน</t>
        </r>
      </text>
    </comment>
    <comment ref="Y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</t>
        </r>
        <r>
          <rPr>
            <b/>
            <sz val="20"/>
            <color indexed="10"/>
            <rFont val="EucrosiaUPC"/>
            <family val="1"/>
          </rPr>
          <t>สถาบัน</t>
        </r>
      </text>
    </comment>
    <comment ref="AC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นับจำนวนคณะวิชาที่บันทึกผลการประเมิน</t>
        </r>
      </text>
    </comment>
    <comment ref="G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F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E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5 ข้อ ให้ใส่เลขข้อที่ได้ดำเนินการ</t>
        </r>
      </text>
    </comment>
    <comment ref="H8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G8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F8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E8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6 ข้อ ให้ใส่เลขข้อที่ได้ดำเนินการ</t>
        </r>
      </text>
    </comment>
    <comment ref="I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H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G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F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E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K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9 ข้อ ให้ใส่เลขข้อที่ได้ดำเนินการ</t>
        </r>
      </text>
    </comment>
    <comment ref="J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9 ข้อ ให้ใส่เลขข้อที่ได้ดำเนินการ</t>
        </r>
      </text>
    </comment>
    <comment ref="I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9 ข้อ ให้ใส่เลขข้อที่ได้ดำเนินการ</t>
        </r>
      </text>
    </comment>
    <comment ref="H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9 ข้อ ให้ใส่เลขข้อที่ได้ดำเนินการ</t>
        </r>
      </text>
    </comment>
    <comment ref="G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9 ข้อ ให้ใส่เลขข้อที่ได้ดำเนินการ</t>
        </r>
      </text>
    </comment>
    <comment ref="F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9 ข้อ ให้ใส่เลขข้อที่ได้ดำเนินการ</t>
        </r>
      </text>
    </comment>
    <comment ref="E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9 ข้อ ให้ใส่เลขข้อที่ได้ดำเนินการ</t>
        </r>
      </text>
    </comment>
    <comment ref="F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10"/>
            <rFont val="EucrosiaUPC"/>
            <family val="1"/>
          </rPr>
          <t>ทำไม่ครบ 8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</t>
        </r>
      </text>
    </comment>
    <comment ref="G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10"/>
            <rFont val="EucrosiaUPC"/>
            <family val="1"/>
          </rPr>
          <t>ทำไม่ครบ 8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</t>
        </r>
      </text>
    </comment>
    <comment ref="H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10"/>
            <rFont val="EucrosiaUPC"/>
            <family val="1"/>
          </rPr>
          <t>ทำไม่ครบ 8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</t>
        </r>
      </text>
    </comment>
    <comment ref="I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10"/>
            <rFont val="EucrosiaUPC"/>
            <family val="1"/>
          </rPr>
          <t>ทำไม่ครบ 8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</t>
        </r>
      </text>
    </comment>
    <comment ref="J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10"/>
            <rFont val="EucrosiaUPC"/>
            <family val="1"/>
          </rPr>
          <t>ทำไม่ครบ 8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</t>
        </r>
      </text>
    </comment>
    <comment ref="K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</t>
        </r>
        <r>
          <rPr>
            <b/>
            <sz val="18"/>
            <color indexed="10"/>
            <rFont val="EucrosiaUPC"/>
            <family val="1"/>
          </rPr>
          <t>ทำไม่ครบ 8 ข้อ</t>
        </r>
        <r>
          <rPr>
            <b/>
            <sz val="18"/>
            <rFont val="EucrosiaUPC"/>
            <family val="1"/>
          </rPr>
          <t xml:space="preserve"> ให้ใส่เลขข้อที่ได้ดำเนินการ</t>
        </r>
      </text>
    </comment>
    <comment ref="E2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F2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G2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H2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I2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J2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E2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F2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G2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H2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I2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J2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ถ้าทำไม่ครบ 7 ข้อ ให้ใส่เลขข้อที่ได้ดำเนินการ</t>
        </r>
      </text>
    </comment>
    <comment ref="U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กลุ่มสาขาวิชาวิทยาศาสตร์และเทคโนโลยี</t>
        </r>
      </text>
    </comment>
    <comment ref="V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60,000 บาทขึ้นไปต่อคน</t>
        </r>
      </text>
    </comment>
    <comment ref="W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กลุ่มสาขาวิชาวิทยาศาสตร์สุขภาพ</t>
        </r>
      </text>
    </comment>
    <comment ref="V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50,000 บาทขึ้นไปต่อคน</t>
        </r>
      </text>
    </comment>
    <comment ref="W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กลุ่มสาขาวิชามนุษยศาสตร์และสังคมศาสตร์</t>
        </r>
      </text>
    </comment>
    <comment ref="V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25,000 บาทขึ้นไปต่อคน</t>
        </r>
      </text>
    </comment>
    <comment ref="W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W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X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Y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Z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C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B1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ใส่แต่จำนวนตัวเลขข้อ </t>
        </r>
        <r>
          <rPr>
            <b/>
            <sz val="18"/>
            <color indexed="10"/>
            <rFont val="EucrosiaUPC"/>
            <family val="1"/>
          </rPr>
          <t xml:space="preserve">หากต้องการตั้งเป้าหมายให้ดำเนินการครบทุกข้อ </t>
        </r>
        <r>
          <rPr>
            <b/>
            <sz val="18"/>
            <rFont val="EucrosiaUPC"/>
            <family val="1"/>
          </rPr>
          <t>(5 คะแนน)</t>
        </r>
        <r>
          <rPr>
            <b/>
            <sz val="18"/>
            <color indexed="10"/>
            <rFont val="EucrosiaUPC"/>
            <family val="1"/>
          </rPr>
          <t xml:space="preserve"> ให้ใส่เลข 5</t>
        </r>
      </text>
    </comment>
    <comment ref="D1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ใส่แต่จำนวนร้อยละ</t>
        </r>
      </text>
    </comment>
    <comment ref="D1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ใส่แต่จำนวนร้อยละ</t>
        </r>
      </text>
    </comment>
    <comment ref="C1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2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2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2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3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4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4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B4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ใส่แต่จำนวนตัวเลขข้อ </t>
        </r>
        <r>
          <rPr>
            <b/>
            <sz val="18"/>
            <color indexed="10"/>
            <rFont val="EucrosiaUPC"/>
            <family val="1"/>
          </rPr>
          <t xml:space="preserve">หากต้องการตั้งเป้าหมายให้ดำเนินการครบทุกข้อ </t>
        </r>
        <r>
          <rPr>
            <b/>
            <sz val="18"/>
            <rFont val="EucrosiaUPC"/>
            <family val="1"/>
          </rPr>
          <t>(5 คะแนน)</t>
        </r>
        <r>
          <rPr>
            <b/>
            <sz val="18"/>
            <color indexed="10"/>
            <rFont val="EucrosiaUPC"/>
            <family val="1"/>
          </rPr>
          <t xml:space="preserve"> ให้ใส่เลข 7</t>
        </r>
      </text>
    </comment>
    <comment ref="C5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B5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ใส่แต่ </t>
        </r>
        <r>
          <rPr>
            <b/>
            <sz val="18"/>
            <color indexed="10"/>
            <rFont val="EucrosiaUPC"/>
            <family val="1"/>
          </rPr>
          <t>จำนวนเงินสนับสนุนงานวิจัยหรืองานสร้างสรรค์</t>
        </r>
        <r>
          <rPr>
            <b/>
            <sz val="18"/>
            <rFont val="EucrosiaUPC"/>
            <family val="1"/>
          </rPr>
          <t>จากภายในและภายนอก</t>
        </r>
      </text>
    </comment>
    <comment ref="C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6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7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8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8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C9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ใส่แต่จำนวนตัวเลขข้อ</t>
        </r>
      </text>
    </comment>
    <comment ref="AA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B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C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D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E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F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G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H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I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J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K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L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M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N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O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P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Q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R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S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T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U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V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W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X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Y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Z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A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B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C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D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E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F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G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5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5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5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H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I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J5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U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กลุ่มสาขาวิชาวิทยาศาสตร์และเทคโนโลยี</t>
        </r>
      </text>
    </comment>
    <comment ref="V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60,000 บาทขึ้นไปต่อคน</t>
        </r>
      </text>
    </comment>
    <comment ref="W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6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กลุ่มสาขาวิชาวิทยาศาสตร์สุขภาพ</t>
        </r>
      </text>
    </comment>
    <comment ref="V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50,000 บาทขึ้นไปต่อคน</t>
        </r>
      </text>
    </comment>
    <comment ref="W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6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กลุ่มสาขาวิชามนุษยศาสตร์และสังคมศาสตร์</t>
        </r>
      </text>
    </comment>
    <comment ref="V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25,000 บาทขึ้นไปต่อคน</t>
        </r>
      </text>
    </comment>
    <comment ref="W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6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W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X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Y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Z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A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B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C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D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E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F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G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H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I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J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K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L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M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N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O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P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Q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R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S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T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U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V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W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X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Y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Z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A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B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C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D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E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F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G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H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I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J6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U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กลุ่มสาขาวิชาวิทยาศาสตร์และเทคโนโลยี</t>
        </r>
      </text>
    </comment>
    <comment ref="V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60,000 บาทขึ้นไปต่อคน</t>
        </r>
      </text>
    </comment>
    <comment ref="W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7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กลุ่มสาขาวิชาวิทยาศาสตร์สุขภาพ</t>
        </r>
      </text>
    </comment>
    <comment ref="V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50,000 บาทขึ้นไปต่อคน</t>
        </r>
      </text>
    </comment>
    <comment ref="W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7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กลุ่มสาขาวิชามนุษยศาสตร์และสังคมศาสตร์</t>
        </r>
      </text>
    </comment>
    <comment ref="V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25,000 บาทขึ้นไปต่อคน</t>
        </r>
      </text>
    </comment>
    <comment ref="W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7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W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X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Y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Z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A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B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C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D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E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F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G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H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I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J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K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L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M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N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O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P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Q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R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S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T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U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V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W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X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Y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Z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A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B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C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D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E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F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G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H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I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J7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U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กลุ่มสาขาวิชาวิทยาศาสตร์และเทคโนโลยี</t>
        </r>
      </text>
    </comment>
    <comment ref="V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60,000 บาทขึ้นไปต่อคน</t>
        </r>
      </text>
    </comment>
    <comment ref="W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7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กลุ่มสาขาวิชาวิทยาศาสตร์สุขภาพ</t>
        </r>
      </text>
    </comment>
    <comment ref="V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50,000 บาทขึ้นไปต่อคน</t>
        </r>
      </text>
    </comment>
    <comment ref="W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78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กลุ่มสาขาวิชามนุษยศาสตร์และสังคมศาสตร์</t>
        </r>
      </text>
    </comment>
    <comment ref="V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25,000 บาทขึ้นไปต่อคน</t>
        </r>
      </text>
    </comment>
    <comment ref="W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79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W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X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Y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Z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A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B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C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D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E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F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G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H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I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J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K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L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M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N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O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P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Q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R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S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T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U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V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W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X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Y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Z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A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B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C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D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E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F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G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H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I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J80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U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กลุ่มสาขาวิชาวิทยาศาสตร์และเทคโนโลยี</t>
        </r>
      </text>
    </comment>
    <comment ref="V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60,000 บาทขึ้นไปต่อคน</t>
        </r>
      </text>
    </comment>
    <comment ref="W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8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กลุ่มสาขาวิชาวิทยาศาสตร์สุขภาพ</t>
        </r>
      </text>
    </comment>
    <comment ref="V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50,000 บาทขึ้นไปต่อคน</t>
        </r>
      </text>
    </comment>
    <comment ref="W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8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กลุ่มสาขาวิชามนุษยศาสตร์และสังคมศาสตร์</t>
        </r>
      </text>
    </comment>
    <comment ref="V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25,000 บาทขึ้นไปต่อคน</t>
        </r>
      </text>
    </comment>
    <comment ref="W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8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W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X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Y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Z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A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B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C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D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E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F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G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H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I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J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K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L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M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N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O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P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Q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R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S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T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U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V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W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X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Y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Z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A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B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C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D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E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F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G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H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I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J8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U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กลุ่มสาขาวิชาวิทยาศาสตร์และเทคโนโลยี</t>
        </r>
      </text>
    </comment>
    <comment ref="V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60,000 บาทขึ้นไปต่อคน</t>
        </r>
      </text>
    </comment>
    <comment ref="W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91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กลุ่มสาขาวิชาวิทยาศาสตร์สุขภาพ</t>
        </r>
      </text>
    </comment>
    <comment ref="V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50,000 บาทขึ้นไปต่อคน</t>
        </r>
      </text>
    </comment>
    <comment ref="W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92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U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กลุ่มสาขาวิชามนุษยศาสตร์และสังคมศาสตร์</t>
        </r>
      </text>
    </comment>
    <comment ref="V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กำหนดให้เป็นคะแนนเต็ม 5 = 25,000 บาทขึ้นไปต่อคน</t>
        </r>
      </text>
    </comment>
    <comment ref="W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X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Y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A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B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C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E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F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G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I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J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K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M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N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O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Q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R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S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U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V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W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AY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AZ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A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C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D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E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BG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อาจารย์ประจำ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H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จำนวนนักวิจัย </t>
        </r>
        <r>
          <rPr>
            <b/>
            <sz val="18"/>
            <color indexed="10"/>
            <rFont val="EucrosiaUPC"/>
            <family val="1"/>
          </rPr>
          <t>นับเฉพาะที่ปฏิบัติงานจริง</t>
        </r>
      </text>
    </comment>
    <comment ref="BI9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ใส่แต่จำนวนเงินสนับสนุนงานวิจัยฯ จากภายใน และภายนอก</t>
        </r>
      </text>
    </comment>
    <comment ref="W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X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Y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Z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A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B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C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D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E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F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G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H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I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J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K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L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M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N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O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P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Q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R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S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T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U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V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AW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AX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AY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AZ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A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B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C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D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E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F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BG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 ของคณะวิชา</t>
        </r>
      </text>
    </comment>
    <comment ref="BH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จำนวนนักวิจัยทั้งหมด ของคณะวิชา</t>
        </r>
      </text>
    </comment>
    <comment ref="BI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จำนวนเงินสนับสนุนงานวิจัยหรืองานสร้างสรรค์จากภายในและภายนอกคณะวิชา</t>
        </r>
      </text>
    </comment>
    <comment ref="BJ9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ค่าเฉลี่ยของคะแนนที่ได้ของทุกกลุ่มสาขาวิชา ในคณะวิชา</t>
        </r>
      </text>
    </comment>
    <comment ref="V1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แปลงค่าร้อยละของอาจารย์ประจำที่มี</t>
        </r>
        <r>
          <rPr>
            <b/>
            <sz val="18"/>
            <color indexed="12"/>
            <rFont val="EucrosiaUPC"/>
            <family val="1"/>
          </rPr>
          <t>คุณวุฒิปริญญาเอก</t>
        </r>
        <r>
          <rPr>
            <b/>
            <sz val="18"/>
            <rFont val="EucrosiaUPC"/>
            <family val="1"/>
          </rPr>
          <t>เป็นคะแนนระหว่าง 0 – 5</t>
        </r>
      </text>
    </comment>
    <comment ref="Y14" authorId="0">
      <text>
        <r>
          <rPr>
            <b/>
            <sz val="8"/>
            <rFont val="Tahoma"/>
            <family val="2"/>
          </rPr>
          <t xml:space="preserve">svoa108:
</t>
        </r>
        <r>
          <rPr>
            <b/>
            <sz val="18"/>
            <rFont val="EucrosiaUPC"/>
            <family val="1"/>
          </rPr>
          <t>จำนวน อจ.ที่มีวุฒิปริญญาเอก</t>
        </r>
      </text>
    </comment>
    <comment ref="Z14" authorId="0">
      <text>
        <r>
          <rPr>
            <b/>
            <sz val="8"/>
            <rFont val="Tahoma"/>
            <family val="2"/>
          </rPr>
          <t xml:space="preserve">svoa108:
</t>
        </r>
        <r>
          <rPr>
            <b/>
            <sz val="18"/>
            <rFont val="EucrosiaUPC"/>
            <family val="1"/>
          </rPr>
          <t xml:space="preserve">จำนวน อจ.ประจำ ทั้งหมด </t>
        </r>
        <r>
          <rPr>
            <b/>
            <sz val="18"/>
            <color indexed="17"/>
            <rFont val="EucrosiaUPC"/>
            <family val="1"/>
          </rPr>
          <t>ในปีที่ประเมิน</t>
        </r>
      </text>
    </comment>
    <comment ref="AF1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ค่าคะแนนเฉลี่ยทางเลือกที่ 1</t>
        </r>
      </text>
    </comment>
    <comment ref="V1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แปลงค่าการเพิ่มขึ้นของค่าร้อยละของอาจารย์ประจำ ที่มี</t>
        </r>
        <r>
          <rPr>
            <b/>
            <sz val="18"/>
            <color indexed="12"/>
            <rFont val="EucrosiaUPC"/>
            <family val="1"/>
          </rPr>
          <t>คุณวุฒิปริญญาเอก</t>
        </r>
        <r>
          <rPr>
            <b/>
            <sz val="18"/>
            <rFont val="EucrosiaUPC"/>
            <family val="1"/>
          </rPr>
          <t xml:space="preserve"> </t>
        </r>
        <r>
          <rPr>
            <b/>
            <sz val="20"/>
            <color indexed="10"/>
            <rFont val="EucrosiaUPC"/>
            <family val="1"/>
          </rPr>
          <t>เปรียบเทียบกับปีที่ผ่านมา</t>
        </r>
        <r>
          <rPr>
            <b/>
            <sz val="18"/>
            <rFont val="EucrosiaUPC"/>
            <family val="1"/>
          </rPr>
          <t>เป็นคะแนนระหว่าง 0 – 5</t>
        </r>
      </text>
    </comment>
    <comment ref="Y15" authorId="0">
      <text>
        <r>
          <rPr>
            <b/>
            <sz val="8"/>
            <rFont val="Tahoma"/>
            <family val="2"/>
          </rPr>
          <t xml:space="preserve">svoa108:
</t>
        </r>
        <r>
          <rPr>
            <b/>
            <sz val="18"/>
            <rFont val="EucrosiaUPC"/>
            <family val="1"/>
          </rPr>
          <t xml:space="preserve">จำนวน อจ. ป.เอก </t>
        </r>
        <r>
          <rPr>
            <b/>
            <sz val="18"/>
            <color indexed="10"/>
            <rFont val="EucrosiaUPC"/>
            <family val="1"/>
          </rPr>
          <t>ในปีก่อนหน้าปีที่ประเมิน</t>
        </r>
      </text>
    </comment>
    <comment ref="Z15" authorId="1">
      <text>
        <r>
          <rPr>
            <b/>
            <sz val="8"/>
            <rFont val="Tahoma"/>
            <family val="2"/>
          </rPr>
          <t>BUUIC: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อจ.ประจำทั้งหมด </t>
        </r>
        <r>
          <rPr>
            <b/>
            <sz val="18"/>
            <color indexed="10"/>
            <rFont val="EucrosiaUPC"/>
            <family val="1"/>
          </rPr>
          <t>ในปีก่อนหน้าปีที่ประเมิน</t>
        </r>
      </text>
    </comment>
    <comment ref="AC1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 อจ. ป.เอก</t>
        </r>
        <r>
          <rPr>
            <b/>
            <sz val="18"/>
            <color indexed="17"/>
            <rFont val="EucrosiaUPC"/>
            <family val="1"/>
          </rPr>
          <t>ในปีที่ประเมิน</t>
        </r>
      </text>
    </comment>
    <comment ref="AD1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อจ.ประจำทั้งหมด </t>
        </r>
        <r>
          <rPr>
            <b/>
            <sz val="18"/>
            <color indexed="17"/>
            <rFont val="EucrosiaUPC"/>
            <family val="1"/>
          </rPr>
          <t>ในปีที่ประเมิน</t>
        </r>
      </text>
    </comment>
    <comment ref="AF1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ค่าคะแนนเฉลี่ยทางเลือกที่ 2</t>
        </r>
      </text>
    </comment>
    <comment ref="V1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แปลงค่าร้อยละของอาจารย์ประจำที่</t>
        </r>
        <r>
          <rPr>
            <b/>
            <sz val="18"/>
            <color indexed="12"/>
            <rFont val="EucrosiaUPC"/>
            <family val="1"/>
          </rPr>
          <t>ดำรงตำแหน่งทางวิชาการ</t>
        </r>
        <r>
          <rPr>
            <b/>
            <sz val="18"/>
            <rFont val="EucrosiaUPC"/>
            <family val="1"/>
          </rPr>
          <t>เป็นคะแนนระหว่าง 0 – 5</t>
        </r>
      </text>
    </comment>
    <comment ref="Y1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อจ. ที่เป็น </t>
        </r>
        <r>
          <rPr>
            <b/>
            <sz val="18"/>
            <color indexed="10"/>
            <rFont val="EucrosiaUPC"/>
            <family val="1"/>
          </rPr>
          <t>ผศ. รศ. และ ศ.</t>
        </r>
      </text>
    </comment>
    <comment ref="Z1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อจ.ประจำทั้งหมด </t>
        </r>
        <r>
          <rPr>
            <b/>
            <sz val="18"/>
            <color indexed="17"/>
            <rFont val="EucrosiaUPC"/>
            <family val="1"/>
          </rPr>
          <t>ในปีที่ประเมิน</t>
        </r>
      </text>
    </comment>
    <comment ref="AF16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ค่าคะแนนเฉลี่ยทางเลือกที่ 1</t>
        </r>
      </text>
    </comment>
    <comment ref="V1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แปลงค่าการเพิ่มขึ้นของค่าร้อยละอาจารย์ประจำที่</t>
        </r>
        <r>
          <rPr>
            <b/>
            <sz val="18"/>
            <color indexed="12"/>
            <rFont val="EucrosiaUPC"/>
            <family val="1"/>
          </rPr>
          <t>ดำรงตำแหน่งทางวิชาการ</t>
        </r>
        <r>
          <rPr>
            <b/>
            <sz val="20"/>
            <color indexed="10"/>
            <rFont val="EucrosiaUPC"/>
            <family val="1"/>
          </rPr>
          <t>เปรียบเทียบกับปีที่ผ่านมา</t>
        </r>
        <r>
          <rPr>
            <b/>
            <sz val="18"/>
            <rFont val="EucrosiaUPC"/>
            <family val="1"/>
          </rPr>
          <t>เป็นคะแนนระหว่าง 0 – 5</t>
        </r>
      </text>
    </comment>
    <comment ref="Y1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อจ. ที่ดำรงตำแหน่ง </t>
        </r>
        <r>
          <rPr>
            <b/>
            <sz val="18"/>
            <color indexed="10"/>
            <rFont val="EucrosiaUPC"/>
            <family val="1"/>
          </rPr>
          <t xml:space="preserve">ผศ. รศ. และ ศ. </t>
        </r>
        <r>
          <rPr>
            <b/>
            <sz val="18"/>
            <color indexed="39"/>
            <rFont val="EucrosiaUPC"/>
            <family val="1"/>
          </rPr>
          <t>ในปีก่อนหน้าปีที่ประเมิน</t>
        </r>
      </text>
    </comment>
    <comment ref="Z17" authorId="1">
      <text>
        <r>
          <rPr>
            <b/>
            <sz val="8"/>
            <rFont val="Tahoma"/>
            <family val="2"/>
          </rPr>
          <t>BUUIC: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อจ.ประจำทั้งหมด </t>
        </r>
        <r>
          <rPr>
            <b/>
            <sz val="18"/>
            <color indexed="10"/>
            <rFont val="EucrosiaUPC"/>
            <family val="1"/>
          </rPr>
          <t>ในปีก่อนหน้าปีที่ประเมิน</t>
        </r>
      </text>
    </comment>
    <comment ref="AC1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อจ. ที่ดำรงตำแหน่ง </t>
        </r>
        <r>
          <rPr>
            <b/>
            <sz val="18"/>
            <color indexed="10"/>
            <rFont val="EucrosiaUPC"/>
            <family val="1"/>
          </rPr>
          <t>ผศ. รศ. และ ศ.</t>
        </r>
        <r>
          <rPr>
            <b/>
            <sz val="18"/>
            <rFont val="EucrosiaUPC"/>
            <family val="1"/>
          </rPr>
          <t xml:space="preserve"> </t>
        </r>
        <r>
          <rPr>
            <b/>
            <sz val="18"/>
            <color indexed="17"/>
            <rFont val="EucrosiaUPC"/>
            <family val="1"/>
          </rPr>
          <t>ในปีที่ประเมิน</t>
        </r>
      </text>
    </comment>
    <comment ref="AD1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 xml:space="preserve">จำนวน อจ.ประจำทั้งหมด </t>
        </r>
        <r>
          <rPr>
            <b/>
            <sz val="18"/>
            <color indexed="17"/>
            <rFont val="EucrosiaUPC"/>
            <family val="1"/>
          </rPr>
          <t>ในปีที่ประเมิน</t>
        </r>
      </text>
    </comment>
    <comment ref="AF17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ค่าคะแนนเฉลี่ยทางเลือกที่ 2</t>
        </r>
      </text>
    </comment>
    <comment ref="BP13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จำนวนอาจารย์ประจำทั้งหมดของตัวบ่งชี้ที่ 2.2</t>
        </r>
      </text>
    </comment>
    <comment ref="BR14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จำนวนอาจารย์ประจำทั้งหมดของตัวบ่งชี้ที่ 2.2, 2.3 และ 4.3</t>
        </r>
      </text>
    </comment>
    <comment ref="BP15" authorId="0">
      <text>
        <r>
          <rPr>
            <b/>
            <sz val="8"/>
            <rFont val="Tahoma"/>
            <family val="2"/>
          </rPr>
          <t>svoa108:</t>
        </r>
        <r>
          <rPr>
            <sz val="8"/>
            <rFont val="Tahoma"/>
            <family val="2"/>
          </rPr>
          <t xml:space="preserve">
</t>
        </r>
        <r>
          <rPr>
            <b/>
            <sz val="18"/>
            <rFont val="EucrosiaUPC"/>
            <family val="1"/>
          </rPr>
          <t>จำนวนอาจารย์ประจำทั้งหมดของตัวบ่งชี้ที่ 2.3</t>
        </r>
      </text>
    </comment>
  </commentList>
</comments>
</file>

<file path=xl/sharedStrings.xml><?xml version="1.0" encoding="utf-8"?>
<sst xmlns="http://schemas.openxmlformats.org/spreadsheetml/2006/main" count="639" uniqueCount="182">
  <si>
    <t>ตัวบ่งชี้</t>
  </si>
  <si>
    <t>คะแนนประเมิน</t>
  </si>
  <si>
    <t>ตัวบ่งชี้ 1.1</t>
  </si>
  <si>
    <t>ตัวบ่งชี้ 2.1</t>
  </si>
  <si>
    <t>ตัวบ่งชี้ 2.2</t>
  </si>
  <si>
    <t>ตัวบ่งชี้ 2.3</t>
  </si>
  <si>
    <t>ตัวบ่งชี้ 2.4</t>
  </si>
  <si>
    <t>ตัวบ่งชี้ 2.5</t>
  </si>
  <si>
    <t>ตัวบ่งชี้ 2.6</t>
  </si>
  <si>
    <t>ตัวบ่งชี้ 2.7</t>
  </si>
  <si>
    <t>ตัวบ่งชี้ 2.8</t>
  </si>
  <si>
    <t>ตัวบ่งชี้ 3.1</t>
  </si>
  <si>
    <t>ตัวบ่งชี้ 3.2</t>
  </si>
  <si>
    <t>ตัวบ่งชี้ 4.1</t>
  </si>
  <si>
    <t>ตัวบ่งชี้ 4.2</t>
  </si>
  <si>
    <t>ตัวบ่งชี้ 4.3</t>
  </si>
  <si>
    <t>ตัวบ่งชี้ 5.1</t>
  </si>
  <si>
    <t>ตัวบ่งชี้ 5.2</t>
  </si>
  <si>
    <t>ตัวบ่งชี้ 6.1</t>
  </si>
  <si>
    <t>ตัวบ่งชี้ 7.1</t>
  </si>
  <si>
    <t>ตัวบ่งชี้ 7.2</t>
  </si>
  <si>
    <t>ตัวบ่งชี้ 7.3</t>
  </si>
  <si>
    <t>ตัวบ่งชี้ 7.4</t>
  </si>
  <si>
    <t>ตัวบ่งชี้ 8.1</t>
  </si>
  <si>
    <t>ตัวบ่งชี้ 9.1</t>
  </si>
  <si>
    <t>ตัวบ่งชี้ 10.1</t>
  </si>
  <si>
    <t>ตัวบ่งชี้ 10.2</t>
  </si>
  <si>
    <t>คะแนนเฉลี่ยองค์ 1-9</t>
  </si>
  <si>
    <t>คะแนนเฉลี่ยองค์ 1-10</t>
  </si>
  <si>
    <t>ผลการประเมิน</t>
  </si>
  <si>
    <t>รวม</t>
  </si>
  <si>
    <t>คะแนนเฉลี่ยองค์ 1-9 และตัวบ่งชี้พิเศษ</t>
  </si>
  <si>
    <t>2. มาตรฐานด้านการดำเนินการตามภารกิจของสถาบันอุดมศึกษา</t>
  </si>
  <si>
    <t>ตัวบ่งฃี้พิเศษ</t>
  </si>
  <si>
    <t>นเองรายตัวบ่งชี้ตามองค์ประกอบคุณภาพ</t>
  </si>
  <si>
    <r>
      <t>ตารางที่</t>
    </r>
    <r>
      <rPr>
        <b/>
        <sz val="16"/>
        <rFont val="EucrosiaUPC"/>
        <family val="1"/>
      </rPr>
      <t xml:space="preserve"> </t>
    </r>
    <r>
      <rPr>
        <b/>
        <sz val="18"/>
        <rFont val="EucrosiaUPC"/>
        <family val="1"/>
      </rPr>
      <t>1</t>
    </r>
    <r>
      <rPr>
        <b/>
        <sz val="16"/>
        <rFont val="EucrosiaUPC"/>
        <family val="1"/>
      </rPr>
      <t xml:space="preserve"> </t>
    </r>
    <r>
      <rPr>
        <b/>
        <sz val="18"/>
        <rFont val="EucrosiaUPC"/>
        <family val="1"/>
      </rPr>
      <t>ตารางสรุปการประเมินตนเองรายตัวบ่งชี้ตามองค์ประกอบคุณภาพ</t>
    </r>
  </si>
  <si>
    <t>ตัวบ่งชี้คุณภาพ</t>
  </si>
  <si>
    <t>เป้าหมาย</t>
  </si>
  <si>
    <t>ตัวตั้ง</t>
  </si>
  <si>
    <t>ตัวหาร</t>
  </si>
  <si>
    <t>ผลลัพธ์
(% หรือสัดส่วน)</t>
  </si>
  <si>
    <t>คะแนนประเมิน
โดยส่วนงาน</t>
  </si>
  <si>
    <t>ตัวบ่งชี้ที่ 10.1</t>
  </si>
  <si>
    <t>ตัวบ่งชี้ที่ 10.2</t>
  </si>
  <si>
    <t>ทางเลือก 1</t>
  </si>
  <si>
    <t>ทางเลือก 2</t>
  </si>
  <si>
    <t>อจ.ประจำ</t>
  </si>
  <si>
    <t>นักวิจัย</t>
  </si>
  <si>
    <t>วิทย์เทคโน</t>
  </si>
  <si>
    <t>วิทย์สุขภาพ</t>
  </si>
  <si>
    <t>มนุษย์สังคม</t>
  </si>
  <si>
    <t>คะแนนที่ได้ในระดับคณะวิชา</t>
  </si>
  <si>
    <t>คณะวิชาที่ 1-10</t>
  </si>
  <si>
    <t>คณะวิชาที่ 11-20</t>
  </si>
  <si>
    <t>คณะวิชาที่ 21-30</t>
  </si>
  <si>
    <t>คณะวิชาที่ 31-40</t>
  </si>
  <si>
    <t>คณะวิชาที่ 41-50</t>
  </si>
  <si>
    <t>คณะวิชาที่ 51-60</t>
  </si>
  <si>
    <t>จำนวนเงินสนับสนุนงานวิจัยฯ</t>
  </si>
  <si>
    <t>1 ระดับคณะวิชาหรือ 2 ระดับสถาบัน</t>
  </si>
  <si>
    <t>ตัวบ่งชี้ที่ 1.1 กระบวนการพัฒนาแผน</t>
  </si>
  <si>
    <t>ตัวบ่งชี้ที่ 2.2 อาจารย์ประจำที่มีคุณวุฒิปริญญาเอก</t>
  </si>
  <si>
    <t>ตัวบ่งชี้ที่ 2.3 อาจารย์ประจำที่ดำรงตำแหน่งทางวิชาการ</t>
  </si>
  <si>
    <t>รวม 9 องค์ประกอบ</t>
  </si>
  <si>
    <t>ตัวบ่งชี้ที่ 2.1
ระบบและกลไกการพัฒนาและบริหารหลักสูตร</t>
  </si>
  <si>
    <t>ตัวบ่งชี้ที่ 2.4
ระบบการพัฒนาคณาจารย์ และบุคลากรสายสนับสนุน</t>
  </si>
  <si>
    <t>ตัวบ่งชี้ที่ 2.5
ห้องสมุด อุปกรณ์การศึกษาและสภาพ แวดล้อมการเรียนรู้</t>
  </si>
  <si>
    <t>ตัวบ่งชี้ที่ 2.6
ระบบและกลไกการจัดการเรียนการสอน</t>
  </si>
  <si>
    <t>ตัวบ่งชี้ที่ 2.7
ระบบและกลไกการพัฒนาสัมฤทธิผลการเรียนตามคุณลักษณะของบัณฑิต</t>
  </si>
  <si>
    <t>ตัวบ่งชี้ที่ 2.8
ระดับความสำเร็จของการเสริมสร้างคุณธรรมจริยธรรมที่จัดให้กับนักศึกษา</t>
  </si>
  <si>
    <t>ตัวบ่งชี้ที่ 3.2
ระบบและกลไกการส่งเสริมกิจกรรมนักศึกษา</t>
  </si>
  <si>
    <t>ตัวบ่งชี้ที่ 5.1
ระบบและกลไกการบริการทางวิชาการแก่สังคม</t>
  </si>
  <si>
    <t>ตัวบ่งชี้ที่ 5.2
กระบวนการบริการทางวิชาการให้เกิดประโยชน์ต่อสังคม</t>
  </si>
  <si>
    <t>ตัวบ่งชี้ที่ 4.1
ระบบและกลไกการพัฒนางานวิจัยหรืองานสร้างสรรค์</t>
  </si>
  <si>
    <t>ตัวบ่งชี้ที่ 4.3
เงินสนับสนุนงานวิจัยหรืองานสร้างสรรค์ต่อจำนวนอาจารย์ประจำและนักวิจัย</t>
  </si>
  <si>
    <t>ตัวบ่งชี้ที่ 6.1
ระบบและกลไกการทำนุบำรุงศิลปะและวัฒนธรรม</t>
  </si>
  <si>
    <t>ตัวบ่งชี้ที่ 7.1
ภาวะผู้นำของสภาสถาบันและผู้บริหารทุกระดับของสถาบัน</t>
  </si>
  <si>
    <t>ตัวบ่งชี้ที่ 7.2
การพัฒนาสถาบันสู่สถาบันเรียนรู้</t>
  </si>
  <si>
    <t xml:space="preserve">ตัวบ่งชี้ที่ 7.3
ระบบสารสนเทศเพื่อการบริหารและการตัดสินใจ
</t>
  </si>
  <si>
    <t xml:space="preserve">ตัวบ่งชี้ที่ 7.4
ระบบบริหารความเสี่ยง
</t>
  </si>
  <si>
    <t>ตัวบ่งชี้ที่ 9.1
ระบบและกลไกการประกันคุณภาพการศึกษาภายใน</t>
  </si>
  <si>
    <t>คะแนนการประเมินเฉลี่ย</t>
  </si>
  <si>
    <t>หมายเหตุ</t>
  </si>
  <si>
    <t>องค์ประกอบที่ 1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</si>
  <si>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</si>
  <si>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</si>
  <si>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</si>
  <si>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</si>
  <si>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องค์ประกอบที่ 6</t>
  </si>
  <si>
    <t>องค์ประกอบที่ 7</t>
  </si>
  <si>
    <t>องค์ประกอบที่ 8</t>
  </si>
  <si>
    <t>องค์ประกอบที่ 9</t>
  </si>
  <si>
    <t>ไม่นำตัวบ่งชี้ สมศ.ที่ 15 มาคำนวณ</t>
  </si>
  <si>
    <t>องค์ประกอบ</t>
  </si>
  <si>
    <t>I</t>
  </si>
  <si>
    <t>P</t>
  </si>
  <si>
    <t>O</t>
  </si>
  <si>
    <t>เฉลี่ยรวมทุกตัวบ่งชี้
ของทุกองค์ประกอบ</t>
  </si>
  <si>
    <t xml:space="preserve">   0.00 - 1.50 การดำเนินงานต้องปรับปรุงเร่งด่วน</t>
  </si>
  <si>
    <t xml:space="preserve">   1.51 - 2.50 การดำเนินงานต้องปรับปรุง</t>
  </si>
  <si>
    <t xml:space="preserve">   2.51 - 3.50 การดำเนินงานระดับพอใช้</t>
  </si>
  <si>
    <t xml:space="preserve">   4.51 - 5.00 การดำเนินงานระดับดีมาก</t>
  </si>
  <si>
    <t>มาตรฐานอุดมศึกษา</t>
  </si>
  <si>
    <t>มาตรฐานที่ 1</t>
  </si>
  <si>
    <t>มาตรฐานที่ 2</t>
  </si>
  <si>
    <t>มาตรฐานที่ 3</t>
  </si>
  <si>
    <t xml:space="preserve">     มาตรฐานที่ 2 ก</t>
  </si>
  <si>
    <t xml:space="preserve">     มาตรฐานที่ 2 ข</t>
  </si>
  <si>
    <t>ด้านกระบวนการภายใน</t>
  </si>
  <si>
    <t>ด้านการเงิน</t>
  </si>
  <si>
    <t>ด้านนักศึกษาและ
ผู้มีส่วนได้ส่วนเสีย</t>
  </si>
  <si>
    <t>มุมมอง
ด้านการบริหารจัดการ</t>
  </si>
  <si>
    <t>ด้านบุคลากรการเรียนรู้
และนวัตกรรม</t>
  </si>
  <si>
    <t>เฉลี่ยรวมทุกตัวบ่งชี้
ของทุกมุมมอง</t>
  </si>
  <si>
    <t>เฉลี่ยรวมทุกตัวบ่งชี้
ของทุกมาตรฐาน</t>
  </si>
  <si>
    <t>มาตรฐาน
สถาบันอุดมศึกษา</t>
  </si>
  <si>
    <t>1. มาตรฐานด้านศักยภาพและความพร้อมในการจัดการศึกษา</t>
  </si>
  <si>
    <t xml:space="preserve">   (1) ด้านกายภาพ</t>
  </si>
  <si>
    <t xml:space="preserve">   (2) ด้านวิชาการ</t>
  </si>
  <si>
    <t xml:space="preserve">   (3) ด้านการเงิน</t>
  </si>
  <si>
    <t xml:space="preserve">   (4) ด้านการบริหารจัดการ</t>
  </si>
  <si>
    <t xml:space="preserve">   (1) ด้านการผลิตบัณฑิต</t>
  </si>
  <si>
    <t xml:space="preserve">   (2) ด้านการวิจัย</t>
  </si>
  <si>
    <t xml:space="preserve">   (3) ด้านการให้บริการ
        ทางวิชาการแก่สังคม</t>
  </si>
  <si>
    <t xml:space="preserve">   (4) ด้านการทำนุบำรุง
        ศิลปะและวัฒนธรรม</t>
  </si>
  <si>
    <t>เฉลี่ยรวมมาตรฐานที่ 2</t>
  </si>
  <si>
    <t>เฉลี่ยรวมมาตรฐานที่ 1</t>
  </si>
  <si>
    <t xml:space="preserve">   ระบุเป็นสัดส่วน หรือระบุเป็นคะแนน หรือระบุเป็นจำนวน หรือระบุเป็นข้อ</t>
  </si>
  <si>
    <t>ตัวบ่งชี้ สมศ.ที่ 17</t>
  </si>
  <si>
    <r>
      <t xml:space="preserve"> ผลการดำเนินงาน</t>
    </r>
    <r>
      <rPr>
        <b/>
        <vertAlign val="superscript"/>
        <sz val="16"/>
        <rFont val="EucrosiaUPC"/>
        <family val="1"/>
      </rPr>
      <t>1</t>
    </r>
  </si>
  <si>
    <r>
      <t>อาจารย์ประจำทั้งหมดของ</t>
    </r>
    <r>
      <rPr>
        <b/>
        <sz val="16"/>
        <rFont val="EucrosiaUPC"/>
        <family val="1"/>
      </rPr>
      <t xml:space="preserve">คณะวิชา </t>
    </r>
    <r>
      <rPr>
        <b/>
        <sz val="16"/>
        <color indexed="8"/>
        <rFont val="EucrosiaUPC"/>
        <family val="1"/>
      </rPr>
      <t>หรือ</t>
    </r>
    <r>
      <rPr>
        <b/>
        <sz val="16"/>
        <rFont val="EucrosiaUPC"/>
        <family val="1"/>
      </rPr>
      <t>สถาบัน</t>
    </r>
  </si>
  <si>
    <r>
      <t>ตัวบ่งชี้ที่ 4.2
ระบบและกลไกการจัด</t>
    </r>
    <r>
      <rPr>
        <sz val="16"/>
        <color indexed="8"/>
        <rFont val="EucrosiaUPC"/>
        <family val="1"/>
      </rPr>
      <t xml:space="preserve"> การความรู้จากงานวิจัย หรืองานสร้างสรรค์</t>
    </r>
  </si>
  <si>
    <r>
      <t>ตัวบ่งชี้ที่ 8.1
ระบบและกลไกการ</t>
    </r>
    <r>
      <rPr>
        <sz val="16"/>
        <color indexed="8"/>
        <rFont val="EucrosiaUPC"/>
        <family val="1"/>
      </rPr>
      <t xml:space="preserve"> เงินและงบประมาณ</t>
    </r>
  </si>
  <si>
    <r>
      <rPr>
        <vertAlign val="superscript"/>
        <sz val="16"/>
        <color indexed="8"/>
        <rFont val="EucrosiaUPC"/>
        <family val="1"/>
      </rPr>
      <t>1</t>
    </r>
    <r>
      <rPr>
        <sz val="16"/>
        <color indexed="8"/>
        <rFont val="EucrosiaUPC"/>
        <family val="1"/>
      </rPr>
      <t xml:space="preserve"> ให้ระบุเป็นตัวเลขที่สอดคล้องกับเกณฑ์ที่ใช้ประเมินสำหรับตัวบ่งชี้นั้นๆ เช่น ระบุเป็นค่าร้อยละ หรือ</t>
    </r>
  </si>
  <si>
    <r>
      <rPr>
        <b/>
        <sz val="14"/>
        <rFont val="EucrosiaUPC"/>
        <family val="1"/>
      </rPr>
      <t>บรรลุเป้าหมาย</t>
    </r>
    <r>
      <rPr>
        <b/>
        <sz val="16"/>
        <rFont val="EucrosiaUPC"/>
        <family val="1"/>
      </rPr>
      <t xml:space="preserve">
</t>
    </r>
    <r>
      <rPr>
        <b/>
        <sz val="16"/>
        <rFont val="Wingdings"/>
        <family val="0"/>
      </rPr>
      <t>ü</t>
    </r>
    <r>
      <rPr>
        <b/>
        <sz val="16"/>
        <rFont val="EucrosiaUPC"/>
        <family val="1"/>
      </rPr>
      <t xml:space="preserve"> = บรรลุ
</t>
    </r>
    <r>
      <rPr>
        <b/>
        <sz val="16"/>
        <rFont val="Wingdings"/>
        <family val="0"/>
      </rPr>
      <t>û</t>
    </r>
    <r>
      <rPr>
        <b/>
        <sz val="16"/>
        <rFont val="EucrosiaUPC"/>
        <family val="1"/>
      </rPr>
      <t xml:space="preserve"> = ไม่บรรลุ</t>
    </r>
  </si>
  <si>
    <t>ตัวบ่งชี้ สมศ.ที่ 1</t>
  </si>
  <si>
    <t>ตัวบ่งชี้ สมศ.ที่ 2</t>
  </si>
  <si>
    <t>ตัวบ่งชี้ สมศ.ที่ 3</t>
  </si>
  <si>
    <t>ตัวบ่งชี้ สมศ.ที่ 4</t>
  </si>
  <si>
    <t>ตัวบ่งชี้ สมศ.ที่ 14</t>
  </si>
  <si>
    <t>ตัวบ่งชี้ สมศ.ที่ 5</t>
  </si>
  <si>
    <t>ตัวบ่งชี้ สมศ.ที่ 6</t>
  </si>
  <si>
    <t>ตัวบ่งชี้ สมศ.ที่ 7</t>
  </si>
  <si>
    <t>ตัวบ่งชี้ สมศ.ที่ 8</t>
  </si>
  <si>
    <t>ตัวบ่งชี้ สมศ.ที่ 9</t>
  </si>
  <si>
    <t>ตัวบ่งชี้ สมศ.ที่ 10</t>
  </si>
  <si>
    <t>ตัวบ่งชี้ สมศ.ที่ 11</t>
  </si>
  <si>
    <t>ตัวบ่งชี้ สมศ.ที่ 12</t>
  </si>
  <si>
    <t>ตัวบ่งชี้ สมศ.ที่ 13</t>
  </si>
  <si>
    <t>ตัวบ่งชี้ สมศ.ที่ 15</t>
  </si>
  <si>
    <t>ตาราง ป 5. ผลการประเมินตามมาตรฐานสถาบันอุดมศึกษา</t>
  </si>
  <si>
    <t>ตาราง ป 4. ผลการประเมินตามมุมมองด้านการบริหารจัดการ</t>
  </si>
  <si>
    <t>ตาราง ป 3. ผลการประเมินตามมาตรฐานการอุดมศึกษา</t>
  </si>
  <si>
    <t>ตาราง ป 2. ผลการประเมินตามองค์ประกอบคุณภาพ</t>
  </si>
  <si>
    <t>ตาราง ป 1 ผลการการประเมินรายตัวบ่งชี้ของสำนักงานคณะกรรมการการอุดมศึกษา</t>
  </si>
  <si>
    <t>คะแนนประเมิน
โดยคณะกรรมการ
ประเมินคุณภาพ</t>
  </si>
  <si>
    <t>นำคะแนนที่ได้จากค่าเฉลี่ยคะแนน
23 ตัวบ่งชี้ของ สกอ. มาบันทึกไว้</t>
  </si>
  <si>
    <t>หมายเหตุ
(เหตุผลของการประเมิน
ที่ต่างจากที่ระบุใน SAR)</t>
  </si>
  <si>
    <r>
      <t>ตัวบ่งชี้ที่ 3.1
ระบบและกลไกการให้</t>
    </r>
    <r>
      <rPr>
        <sz val="16"/>
        <color indexed="8"/>
        <rFont val="EucrosiaUPC"/>
        <family val="1"/>
      </rPr>
      <t>คำปรึกษาและ</t>
    </r>
    <r>
      <rPr>
        <sz val="14"/>
        <color indexed="8"/>
        <rFont val="EucrosiaUPC"/>
        <family val="1"/>
      </rPr>
      <t>บริการด้านข้อมูลข่าวสาร</t>
    </r>
  </si>
  <si>
    <t>ข้อผิดพลาดที่พบ</t>
  </si>
  <si>
    <t>ตัวบ่งชี้ สมศ.ที่ 18.2</t>
  </si>
  <si>
    <t>ตัวบ่งชี้ สมศ.ที่ 18.1</t>
  </si>
  <si>
    <t>ตัวบ่งชี้ สมศ.ที่ 16.1</t>
  </si>
  <si>
    <t>ตัวบ่งชี้ สมศ.ที่ 16.2</t>
  </si>
  <si>
    <t>ตัวบ่งชี่ สมศ.ที่ 2</t>
  </si>
  <si>
    <t>คะแนนเฉลี่ยองค์ 1-10 และตัวบ่งชี้พิเศษ</t>
  </si>
  <si>
    <t>คะแนนเฉลี่ย สกอ+สมศ</t>
  </si>
  <si>
    <t>คะแนนเฉลี่ย สกอ+สมศ และตัวบ่งชี้พิเศษ</t>
  </si>
  <si>
    <t>23 ตัวบ่งชี้ ของ สกอ</t>
  </si>
  <si>
    <t>20 ตัวบ่งชี้ ของ สมศ</t>
  </si>
  <si>
    <t>ตัวบ่งชี้พิเศษ</t>
  </si>
  <si>
    <t>ตาราง ป 2. ผลการประเมินตามองค์ประกอบคุณภาพ (สกอ. + สมศ.)</t>
  </si>
  <si>
    <t>ตาราง ป 2. ผลการประเมินตามองค์ประกอบคุณภาพ (สกอ. + สมศ. + ตัวบ่งชี้พิเศษ)</t>
  </si>
  <si>
    <t>ตาราง ป 3. ผลการประเมินตามมาตรฐานการอุดมศึกษา (สกอ. + สมศ. + ตัวบ่งชี้พิเศษ)</t>
  </si>
  <si>
    <t>ตาราง ป 3. ผลการประเมินตามมาตรฐานการอุดมศึกษา (สกอ. + สมศ.)</t>
  </si>
  <si>
    <t>ตาราง ป 4. ผลการประเมินตามมุมมองด้านการบริหารจัดการ (สกอ. + สมศ. + ตัวบ่งชี้พิเศษ)</t>
  </si>
  <si>
    <t>ตาราง ป 5. ผลการประเมินตามมาตรฐานสถาบันอุดมศึกษา (สกอ. + สมศ.)</t>
  </si>
  <si>
    <t>ตาราง ป 5. ผลการประเมินตามมาตรฐานสถาบันอุดมศึกษา (สกอ. + สมศ. + ตัวบ่งชี้พิเศษ)</t>
  </si>
  <si>
    <t xml:space="preserve">   3.51 - 4.50 การดำเนินงานระดับดี</t>
  </si>
  <si>
    <t>เพิ่มกระบวนการวิเคราะห์ สังเคราะห์จากงานวิจัยแล้วนำไปเผยแพร่สู่สาธารณชน</t>
  </si>
  <si>
    <t>เพิ่มรายละเอียดเกี่ยวกับมาตรฐานด้านศิลปะ (เครื่องปั้นดินเผา อ.ชานนท์  ตันประวัติ)</t>
  </si>
  <si>
    <t xml:space="preserve">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</si>
</sst>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_(* #,##0.0_);_(* \(#,##0.0\);_(* &quot;-&quot;??_);_(@_)"/>
    <numFmt numFmtId="215" formatCode="_(* #,##0_);_(* \(#,##0\);_(* &quot;-&quot;??_);_(@_)"/>
    <numFmt numFmtId="216" formatCode="#,##0.0_);\(#,##0.0\)"/>
    <numFmt numFmtId="217" formatCode="#,##0.0"/>
  </numFmts>
  <fonts count="83">
    <font>
      <sz val="11"/>
      <color theme="1"/>
      <name val="Tahoma"/>
      <family val="2"/>
    </font>
    <font>
      <sz val="11"/>
      <color indexed="8"/>
      <name val="Tahoma"/>
      <family val="2"/>
    </font>
    <font>
      <sz val="16"/>
      <name val="EucrosiaUPC"/>
      <family val="1"/>
    </font>
    <font>
      <b/>
      <sz val="16"/>
      <name val="EucrosiaUPC"/>
      <family val="1"/>
    </font>
    <font>
      <sz val="11"/>
      <color indexed="9"/>
      <name val="Tahoma"/>
      <family val="2"/>
    </font>
    <font>
      <sz val="10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EucrosiaUPC"/>
      <family val="1"/>
    </font>
    <font>
      <b/>
      <sz val="18"/>
      <name val="EucrosiaUPC"/>
      <family val="1"/>
    </font>
    <font>
      <sz val="18"/>
      <name val="EucrosiaUPC"/>
      <family val="1"/>
    </font>
    <font>
      <b/>
      <sz val="14"/>
      <name val="EucrosiaUPC"/>
      <family val="1"/>
    </font>
    <font>
      <sz val="16"/>
      <color indexed="8"/>
      <name val="EucrosiaUPC"/>
      <family val="1"/>
    </font>
    <font>
      <sz val="14"/>
      <name val="Eucros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10"/>
      <name val="EucrosiaUPC"/>
      <family val="1"/>
    </font>
    <font>
      <b/>
      <sz val="20"/>
      <color indexed="10"/>
      <name val="EucrosiaUPC"/>
      <family val="1"/>
    </font>
    <font>
      <b/>
      <sz val="18"/>
      <color indexed="12"/>
      <name val="EucrosiaUPC"/>
      <family val="1"/>
    </font>
    <font>
      <b/>
      <sz val="16"/>
      <name val="Wingdings"/>
      <family val="0"/>
    </font>
    <font>
      <b/>
      <vertAlign val="superscript"/>
      <sz val="16"/>
      <name val="EucrosiaUPC"/>
      <family val="1"/>
    </font>
    <font>
      <vertAlign val="superscript"/>
      <sz val="16"/>
      <color indexed="8"/>
      <name val="EucrosiaUPC"/>
      <family val="1"/>
    </font>
    <font>
      <sz val="14"/>
      <color indexed="8"/>
      <name val="EucrosiaUPC"/>
      <family val="1"/>
    </font>
    <font>
      <b/>
      <sz val="18"/>
      <color indexed="39"/>
      <name val="EucrosiaUPC"/>
      <family val="1"/>
    </font>
    <font>
      <sz val="22"/>
      <name val="Wingdings"/>
      <family val="0"/>
    </font>
    <font>
      <b/>
      <sz val="18"/>
      <color indexed="8"/>
      <name val="EucrosiaUPC"/>
      <family val="1"/>
    </font>
    <font>
      <b/>
      <sz val="16"/>
      <color indexed="10"/>
      <name val="EucrosiaUPC"/>
      <family val="1"/>
    </font>
    <font>
      <sz val="22"/>
      <color indexed="8"/>
      <name val="EucrosiaUPC"/>
      <family val="1"/>
    </font>
    <font>
      <sz val="18"/>
      <color indexed="8"/>
      <name val="EucrosiaUPC"/>
      <family val="1"/>
    </font>
    <font>
      <sz val="22"/>
      <color indexed="8"/>
      <name val="Wingdings"/>
      <family val="0"/>
    </font>
    <font>
      <sz val="18"/>
      <color indexed="10"/>
      <name val="EucrosiaUPC"/>
      <family val="1"/>
    </font>
    <font>
      <b/>
      <sz val="18"/>
      <color indexed="17"/>
      <name val="EucrosiaUPC"/>
      <family val="1"/>
    </font>
    <font>
      <sz val="15"/>
      <color indexed="8"/>
      <name val="EucrosiaUPC"/>
      <family val="1"/>
    </font>
    <font>
      <b/>
      <sz val="16"/>
      <color indexed="18"/>
      <name val="EucrosiaUPC"/>
      <family val="1"/>
    </font>
    <font>
      <sz val="16"/>
      <color indexed="10"/>
      <name val="EucrosiaUPC"/>
      <family val="1"/>
    </font>
    <font>
      <b/>
      <sz val="16"/>
      <color indexed="60"/>
      <name val="EucrosiaUPC"/>
      <family val="1"/>
    </font>
    <font>
      <sz val="16"/>
      <color indexed="60"/>
      <name val="EucrosiaUPC"/>
      <family val="1"/>
    </font>
    <font>
      <sz val="22"/>
      <color indexed="10"/>
      <name val="EucrosiaUPC"/>
      <family val="1"/>
    </font>
    <font>
      <b/>
      <sz val="22"/>
      <color indexed="10"/>
      <name val="EucrosiaUPC"/>
      <family val="1"/>
    </font>
    <font>
      <b/>
      <sz val="22"/>
      <color indexed="12"/>
      <name val="EucrosiaUPC"/>
      <family val="1"/>
    </font>
    <font>
      <sz val="13.5"/>
      <color indexed="8"/>
      <name val="EucrosiaUPC"/>
      <family val="1"/>
    </font>
    <font>
      <sz val="12"/>
      <color indexed="8"/>
      <name val="EucrosiaUPC"/>
      <family val="1"/>
    </font>
    <font>
      <sz val="12"/>
      <color indexed="56"/>
      <name val="EucrosiaUPC"/>
      <family val="1"/>
    </font>
    <font>
      <sz val="12"/>
      <color indexed="36"/>
      <name val="EucrosiaUPC"/>
      <family val="1"/>
    </font>
    <font>
      <sz val="16"/>
      <color indexed="56"/>
      <name val="EucrosiaUPC"/>
      <family val="1"/>
    </font>
    <font>
      <sz val="16"/>
      <color indexed="36"/>
      <name val="EucrosiaUPC"/>
      <family val="1"/>
    </font>
    <font>
      <sz val="15"/>
      <color indexed="56"/>
      <name val="EucrosiaUPC"/>
      <family val="1"/>
    </font>
    <font>
      <sz val="15"/>
      <color indexed="36"/>
      <name val="EucrosiaUPC"/>
      <family val="1"/>
    </font>
    <font>
      <u val="single"/>
      <sz val="10.1"/>
      <color indexed="20"/>
      <name val="Tahoma"/>
      <family val="2"/>
    </font>
    <font>
      <u val="single"/>
      <sz val="10.1"/>
      <color indexed="12"/>
      <name val="Tahoma"/>
      <family val="2"/>
    </font>
    <font>
      <b/>
      <sz val="16"/>
      <color indexed="20"/>
      <name val="Cambria"/>
      <family val="0"/>
    </font>
    <font>
      <b/>
      <sz val="18"/>
      <color indexed="8"/>
      <name val="Calibri"/>
      <family val="0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0.1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.1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12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3" borderId="1" applyNumberFormat="0" applyAlignment="0" applyProtection="0"/>
    <xf numFmtId="0" fontId="68" fillId="34" borderId="2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5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36" borderId="1" applyNumberFormat="0" applyAlignment="0" applyProtection="0"/>
    <xf numFmtId="0" fontId="77" fillId="0" borderId="6" applyNumberFormat="0" applyFill="0" applyAlignment="0" applyProtection="0"/>
    <xf numFmtId="0" fontId="78" fillId="3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7" applyNumberFormat="0" applyFont="0" applyAlignment="0" applyProtection="0"/>
    <xf numFmtId="0" fontId="79" fillId="33" borderId="8" applyNumberFormat="0" applyAlignment="0" applyProtection="0"/>
    <xf numFmtId="9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0" fontId="6" fillId="39" borderId="10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0" borderId="11" applyNumberFormat="0" applyAlignment="0" applyProtection="0"/>
    <xf numFmtId="0" fontId="11" fillId="0" borderId="12" applyNumberFormat="0" applyFill="0" applyAlignment="0" applyProtection="0"/>
    <xf numFmtId="0" fontId="12" fillId="4" borderId="0" applyNumberFormat="0" applyBorder="0" applyAlignment="0" applyProtection="0"/>
    <xf numFmtId="0" fontId="13" fillId="9" borderId="10" applyNumberFormat="0" applyAlignment="0" applyProtection="0"/>
    <xf numFmtId="0" fontId="14" fillId="41" borderId="0" applyNumberFormat="0" applyBorder="0" applyAlignment="0" applyProtection="0"/>
    <xf numFmtId="0" fontId="15" fillId="0" borderId="13" applyNumberFormat="0" applyFill="0" applyAlignment="0" applyProtection="0"/>
    <xf numFmtId="0" fontId="16" fillId="3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45" borderId="0" applyNumberFormat="0" applyBorder="0" applyAlignment="0" applyProtection="0"/>
    <xf numFmtId="0" fontId="17" fillId="39" borderId="14" applyNumberForma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5" fillId="46" borderId="15" applyNumberFormat="0" applyFon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22" fillId="0" borderId="0" xfId="80" applyFont="1" applyBorder="1" applyAlignment="1" applyProtection="1">
      <alignment vertical="top"/>
      <protection hidden="1"/>
    </xf>
    <xf numFmtId="0" fontId="22" fillId="16" borderId="19" xfId="81" applyFont="1" applyFill="1" applyBorder="1" applyAlignment="1" applyProtection="1">
      <alignment horizontal="center"/>
      <protection hidden="1"/>
    </xf>
    <xf numFmtId="0" fontId="3" fillId="16" borderId="20" xfId="81" applyFont="1" applyFill="1" applyBorder="1" applyAlignment="1" applyProtection="1">
      <alignment horizontal="center" vertical="center"/>
      <protection hidden="1"/>
    </xf>
    <xf numFmtId="0" fontId="2" fillId="41" borderId="19" xfId="82" applyFont="1" applyFill="1" applyBorder="1" applyAlignment="1" applyProtection="1">
      <alignment horizontal="center"/>
      <protection hidden="1"/>
    </xf>
    <xf numFmtId="0" fontId="2" fillId="4" borderId="19" xfId="83" applyFont="1" applyFill="1" applyBorder="1" applyAlignment="1" applyProtection="1">
      <alignment horizontal="center"/>
      <protection hidden="1"/>
    </xf>
    <xf numFmtId="0" fontId="2" fillId="4" borderId="21" xfId="85" applyFont="1" applyFill="1" applyBorder="1" applyAlignment="1" applyProtection="1">
      <alignment horizontal="center"/>
      <protection hidden="1"/>
    </xf>
    <xf numFmtId="0" fontId="2" fillId="41" borderId="19" xfId="84" applyFont="1" applyFill="1" applyBorder="1" applyAlignment="1" applyProtection="1">
      <alignment horizontal="center"/>
      <protection hidden="1"/>
    </xf>
    <xf numFmtId="0" fontId="2" fillId="4" borderId="19" xfId="85" applyFont="1" applyFill="1" applyBorder="1" applyAlignment="1" applyProtection="1">
      <alignment horizontal="center"/>
      <protection hidden="1"/>
    </xf>
    <xf numFmtId="0" fontId="2" fillId="41" borderId="19" xfId="86" applyFont="1" applyFill="1" applyBorder="1" applyAlignment="1" applyProtection="1">
      <alignment horizontal="center"/>
      <protection hidden="1"/>
    </xf>
    <xf numFmtId="0" fontId="2" fillId="41" borderId="19" xfId="75" applyFont="1" applyFill="1" applyBorder="1" applyAlignment="1" applyProtection="1">
      <alignment horizontal="center"/>
      <protection hidden="1"/>
    </xf>
    <xf numFmtId="0" fontId="2" fillId="4" borderId="19" xfId="76" applyFont="1" applyFill="1" applyBorder="1" applyAlignment="1" applyProtection="1">
      <alignment horizontal="center"/>
      <protection hidden="1"/>
    </xf>
    <xf numFmtId="0" fontId="2" fillId="41" borderId="19" xfId="77" applyFont="1" applyFill="1" applyBorder="1" applyAlignment="1" applyProtection="1">
      <alignment horizontal="center"/>
      <protection hidden="1"/>
    </xf>
    <xf numFmtId="2" fontId="2" fillId="8" borderId="19" xfId="83" applyNumberFormat="1" applyFont="1" applyFill="1" applyBorder="1" applyAlignment="1" applyProtection="1">
      <alignment vertical="center"/>
      <protection locked="0"/>
    </xf>
    <xf numFmtId="2" fontId="2" fillId="47" borderId="19" xfId="83" applyNumberFormat="1" applyFont="1" applyFill="1" applyBorder="1" applyAlignment="1" applyProtection="1">
      <alignment horizontal="center" vertical="center"/>
      <protection locked="0"/>
    </xf>
    <xf numFmtId="2" fontId="2" fillId="9" borderId="19" xfId="84" applyNumberFormat="1" applyFont="1" applyFill="1" applyBorder="1" applyAlignment="1" applyProtection="1">
      <alignment horizontal="center" vertical="center"/>
      <protection locked="0"/>
    </xf>
    <xf numFmtId="2" fontId="2" fillId="9" borderId="19" xfId="84" applyNumberFormat="1" applyFont="1" applyFill="1" applyBorder="1" applyAlignment="1" applyProtection="1">
      <alignment vertical="center"/>
      <protection locked="0"/>
    </xf>
    <xf numFmtId="2" fontId="2" fillId="47" borderId="19" xfId="85" applyNumberFormat="1" applyFont="1" applyFill="1" applyBorder="1" applyAlignment="1" applyProtection="1">
      <alignment horizontal="center" vertical="center"/>
      <protection locked="0"/>
    </xf>
    <xf numFmtId="2" fontId="2" fillId="8" borderId="19" xfId="85" applyNumberFormat="1" applyFont="1" applyFill="1" applyBorder="1" applyAlignment="1" applyProtection="1">
      <alignment vertical="center"/>
      <protection locked="0"/>
    </xf>
    <xf numFmtId="2" fontId="2" fillId="9" borderId="19" xfId="86" applyNumberFormat="1" applyFont="1" applyFill="1" applyBorder="1" applyAlignment="1" applyProtection="1">
      <alignment horizontal="center" vertical="center"/>
      <protection locked="0"/>
    </xf>
    <xf numFmtId="2" fontId="2" fillId="9" borderId="19" xfId="86" applyNumberFormat="1" applyFont="1" applyFill="1" applyBorder="1" applyAlignment="1" applyProtection="1">
      <alignment vertical="center"/>
      <protection locked="0"/>
    </xf>
    <xf numFmtId="2" fontId="2" fillId="47" borderId="19" xfId="87" applyNumberFormat="1" applyFont="1" applyFill="1" applyBorder="1" applyAlignment="1" applyProtection="1">
      <alignment horizontal="center" vertical="center"/>
      <protection locked="0"/>
    </xf>
    <xf numFmtId="2" fontId="2" fillId="8" borderId="19" xfId="87" applyNumberFormat="1" applyFont="1" applyFill="1" applyBorder="1" applyAlignment="1" applyProtection="1">
      <alignment vertical="center"/>
      <protection locked="0"/>
    </xf>
    <xf numFmtId="2" fontId="2" fillId="9" borderId="19" xfId="75" applyNumberFormat="1" applyFont="1" applyFill="1" applyBorder="1" applyAlignment="1" applyProtection="1">
      <alignment horizontal="center" vertical="center"/>
      <protection locked="0"/>
    </xf>
    <xf numFmtId="2" fontId="2" fillId="9" borderId="19" xfId="75" applyNumberFormat="1" applyFont="1" applyFill="1" applyBorder="1" applyAlignment="1" applyProtection="1">
      <alignment vertical="center"/>
      <protection locked="0"/>
    </xf>
    <xf numFmtId="2" fontId="2" fillId="8" borderId="19" xfId="76" applyNumberFormat="1" applyFont="1" applyFill="1" applyBorder="1" applyAlignment="1" applyProtection="1">
      <alignment horizontal="center" vertical="center"/>
      <protection locked="0"/>
    </xf>
    <xf numFmtId="2" fontId="2" fillId="8" borderId="19" xfId="76" applyNumberFormat="1" applyFont="1" applyFill="1" applyBorder="1" applyAlignment="1" applyProtection="1">
      <alignment vertical="center"/>
      <protection locked="0"/>
    </xf>
    <xf numFmtId="2" fontId="2" fillId="9" borderId="19" xfId="77" applyNumberFormat="1" applyFont="1" applyFill="1" applyBorder="1" applyAlignment="1" applyProtection="1">
      <alignment horizontal="center" vertical="center"/>
      <protection locked="0"/>
    </xf>
    <xf numFmtId="2" fontId="2" fillId="9" borderId="19" xfId="77" applyNumberFormat="1" applyFont="1" applyFill="1" applyBorder="1" applyAlignment="1" applyProtection="1">
      <alignment vertical="center"/>
      <protection locked="0"/>
    </xf>
    <xf numFmtId="0" fontId="3" fillId="16" borderId="19" xfId="81" applyFont="1" applyFill="1" applyBorder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2" fontId="2" fillId="41" borderId="19" xfId="82" applyNumberFormat="1" applyFont="1" applyFill="1" applyBorder="1" applyAlignment="1" applyProtection="1">
      <alignment horizontal="center" vertical="center"/>
      <protection hidden="1"/>
    </xf>
    <xf numFmtId="2" fontId="2" fillId="4" borderId="19" xfId="83" applyNumberFormat="1" applyFont="1" applyFill="1" applyBorder="1" applyAlignment="1" applyProtection="1">
      <alignment horizontal="center" vertical="center"/>
      <protection hidden="1"/>
    </xf>
    <xf numFmtId="2" fontId="2" fillId="41" borderId="19" xfId="86" applyNumberFormat="1" applyFont="1" applyFill="1" applyBorder="1" applyAlignment="1" applyProtection="1">
      <alignment horizontal="center" vertical="center"/>
      <protection hidden="1"/>
    </xf>
    <xf numFmtId="2" fontId="2" fillId="41" borderId="19" xfId="83" applyNumberFormat="1" applyFont="1" applyFill="1" applyBorder="1" applyAlignment="1" applyProtection="1">
      <alignment horizontal="center" vertical="center"/>
      <protection hidden="1"/>
    </xf>
    <xf numFmtId="0" fontId="2" fillId="4" borderId="19" xfId="87" applyFont="1" applyFill="1" applyBorder="1" applyAlignment="1" applyProtection="1">
      <alignment horizontal="center"/>
      <protection hidden="1"/>
    </xf>
    <xf numFmtId="2" fontId="2" fillId="4" borderId="19" xfId="86" applyNumberFormat="1" applyFont="1" applyFill="1" applyBorder="1" applyAlignment="1" applyProtection="1">
      <alignment horizontal="center" vertical="center"/>
      <protection hidden="1"/>
    </xf>
    <xf numFmtId="37" fontId="25" fillId="5" borderId="19" xfId="60" applyNumberFormat="1" applyFont="1" applyFill="1" applyBorder="1" applyAlignment="1" applyProtection="1">
      <alignment vertical="center"/>
      <protection hidden="1"/>
    </xf>
    <xf numFmtId="37" fontId="25" fillId="3" borderId="19" xfId="60" applyNumberFormat="1" applyFont="1" applyFill="1" applyBorder="1" applyAlignment="1" applyProtection="1">
      <alignment vertical="center"/>
      <protection hidden="1"/>
    </xf>
    <xf numFmtId="37" fontId="25" fillId="46" borderId="19" xfId="60" applyNumberFormat="1" applyFont="1" applyFill="1" applyBorder="1" applyAlignment="1" applyProtection="1">
      <alignment vertical="center"/>
      <protection hidden="1"/>
    </xf>
    <xf numFmtId="0" fontId="25" fillId="46" borderId="19" xfId="0" applyFont="1" applyFill="1" applyBorder="1" applyAlignment="1" applyProtection="1">
      <alignment vertical="center"/>
      <protection hidden="1"/>
    </xf>
    <xf numFmtId="0" fontId="25" fillId="3" borderId="19" xfId="0" applyFont="1" applyFill="1" applyBorder="1" applyAlignment="1" applyProtection="1">
      <alignment vertical="center"/>
      <protection hidden="1"/>
    </xf>
    <xf numFmtId="0" fontId="25" fillId="5" borderId="19" xfId="0" applyFont="1" applyFill="1" applyBorder="1" applyAlignment="1" applyProtection="1">
      <alignment vertical="center"/>
      <protection hidden="1"/>
    </xf>
    <xf numFmtId="4" fontId="25" fillId="4" borderId="19" xfId="0" applyNumberFormat="1" applyFont="1" applyFill="1" applyBorder="1" applyAlignment="1" applyProtection="1">
      <alignment vertical="center"/>
      <protection hidden="1"/>
    </xf>
    <xf numFmtId="4" fontId="25" fillId="2" borderId="19" xfId="0" applyNumberFormat="1" applyFont="1" applyFill="1" applyBorder="1" applyAlignment="1" applyProtection="1">
      <alignment vertical="center"/>
      <protection hidden="1"/>
    </xf>
    <xf numFmtId="4" fontId="25" fillId="17" borderId="19" xfId="0" applyNumberFormat="1" applyFont="1" applyFill="1" applyBorder="1" applyAlignment="1" applyProtection="1">
      <alignment vertical="center"/>
      <protection hidden="1"/>
    </xf>
    <xf numFmtId="4" fontId="25" fillId="46" borderId="19" xfId="0" applyNumberFormat="1" applyFont="1" applyFill="1" applyBorder="1" applyAlignment="1" applyProtection="1">
      <alignment vertical="center"/>
      <protection locked="0"/>
    </xf>
    <xf numFmtId="4" fontId="25" fillId="3" borderId="19" xfId="0" applyNumberFormat="1" applyFont="1" applyFill="1" applyBorder="1" applyAlignment="1" applyProtection="1">
      <alignment vertical="center"/>
      <protection locked="0"/>
    </xf>
    <xf numFmtId="4" fontId="25" fillId="5" borderId="19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25" borderId="19" xfId="0" applyFont="1" applyFill="1" applyBorder="1" applyAlignment="1" applyProtection="1">
      <alignment horizontal="center" vertical="center"/>
      <protection hidden="1"/>
    </xf>
    <xf numFmtId="2" fontId="25" fillId="0" borderId="0" xfId="0" applyNumberFormat="1" applyFont="1" applyFill="1" applyBorder="1" applyAlignment="1" applyProtection="1">
      <alignment/>
      <protection hidden="1"/>
    </xf>
    <xf numFmtId="217" fontId="25" fillId="46" borderId="19" xfId="60" applyNumberFormat="1" applyFont="1" applyFill="1" applyBorder="1" applyAlignment="1" applyProtection="1">
      <alignment vertical="center"/>
      <protection locked="0"/>
    </xf>
    <xf numFmtId="217" fontId="25" fillId="3" borderId="19" xfId="60" applyNumberFormat="1" applyFont="1" applyFill="1" applyBorder="1" applyAlignment="1" applyProtection="1">
      <alignment vertical="center"/>
      <protection locked="0"/>
    </xf>
    <xf numFmtId="217" fontId="25" fillId="5" borderId="19" xfId="60" applyNumberFormat="1" applyFont="1" applyFill="1" applyBorder="1" applyAlignment="1" applyProtection="1">
      <alignment vertical="center"/>
      <protection locked="0"/>
    </xf>
    <xf numFmtId="217" fontId="25" fillId="9" borderId="19" xfId="0" applyNumberFormat="1" applyFont="1" applyFill="1" applyBorder="1" applyAlignment="1" applyProtection="1">
      <alignment horizontal="center" vertical="center"/>
      <protection hidden="1"/>
    </xf>
    <xf numFmtId="217" fontId="25" fillId="25" borderId="19" xfId="0" applyNumberFormat="1" applyFont="1" applyFill="1" applyBorder="1" applyAlignment="1" applyProtection="1">
      <alignment horizontal="center" vertical="center"/>
      <protection hidden="1"/>
    </xf>
    <xf numFmtId="2" fontId="25" fillId="17" borderId="19" xfId="0" applyNumberFormat="1" applyFont="1" applyFill="1" applyBorder="1" applyAlignment="1" applyProtection="1">
      <alignment horizontal="center" vertical="center"/>
      <protection hidden="1"/>
    </xf>
    <xf numFmtId="217" fontId="25" fillId="17" borderId="19" xfId="0" applyNumberFormat="1" applyFont="1" applyFill="1" applyBorder="1" applyAlignment="1" applyProtection="1">
      <alignment horizontal="center" vertical="center"/>
      <protection hidden="1"/>
    </xf>
    <xf numFmtId="217" fontId="25" fillId="9" borderId="19" xfId="0" applyNumberFormat="1" applyFont="1" applyFill="1" applyBorder="1" applyAlignment="1" applyProtection="1">
      <alignment horizontal="right" vertical="center"/>
      <protection hidden="1"/>
    </xf>
    <xf numFmtId="217" fontId="25" fillId="25" borderId="19" xfId="0" applyNumberFormat="1" applyFont="1" applyFill="1" applyBorder="1" applyAlignment="1" applyProtection="1">
      <alignment horizontal="right" vertical="center"/>
      <protection hidden="1"/>
    </xf>
    <xf numFmtId="4" fontId="25" fillId="46" borderId="19" xfId="0" applyNumberFormat="1" applyFont="1" applyFill="1" applyBorder="1" applyAlignment="1" applyProtection="1">
      <alignment horizontal="right" vertical="center"/>
      <protection hidden="1"/>
    </xf>
    <xf numFmtId="4" fontId="25" fillId="3" borderId="19" xfId="0" applyNumberFormat="1" applyFont="1" applyFill="1" applyBorder="1" applyAlignment="1" applyProtection="1">
      <alignment horizontal="right" vertical="center"/>
      <protection hidden="1"/>
    </xf>
    <xf numFmtId="4" fontId="25" fillId="5" borderId="19" xfId="0" applyNumberFormat="1" applyFont="1" applyFill="1" applyBorder="1" applyAlignment="1" applyProtection="1">
      <alignment horizontal="right" vertical="center"/>
      <protection hidden="1"/>
    </xf>
    <xf numFmtId="0" fontId="46" fillId="0" borderId="19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vertical="top" wrapText="1"/>
      <protection hidden="1"/>
    </xf>
    <xf numFmtId="0" fontId="25" fillId="3" borderId="19" xfId="0" applyFont="1" applyFill="1" applyBorder="1" applyAlignment="1" applyProtection="1">
      <alignment horizontal="center" vertical="center"/>
      <protection hidden="1"/>
    </xf>
    <xf numFmtId="0" fontId="25" fillId="48" borderId="22" xfId="0" applyFont="1" applyFill="1" applyBorder="1" applyAlignment="1" applyProtection="1">
      <alignment vertical="center"/>
      <protection hidden="1"/>
    </xf>
    <xf numFmtId="0" fontId="25" fillId="48" borderId="23" xfId="0" applyFont="1" applyFill="1" applyBorder="1" applyAlignment="1" applyProtection="1">
      <alignment vertical="center"/>
      <protection hidden="1"/>
    </xf>
    <xf numFmtId="0" fontId="21" fillId="17" borderId="22" xfId="0" applyFont="1" applyFill="1" applyBorder="1" applyAlignment="1" applyProtection="1">
      <alignment vertical="center"/>
      <protection hidden="1"/>
    </xf>
    <xf numFmtId="0" fontId="21" fillId="17" borderId="24" xfId="0" applyFont="1" applyFill="1" applyBorder="1" applyAlignment="1" applyProtection="1">
      <alignment vertical="center"/>
      <protection hidden="1"/>
    </xf>
    <xf numFmtId="0" fontId="21" fillId="17" borderId="23" xfId="0" applyFont="1" applyFill="1" applyBorder="1" applyAlignment="1" applyProtection="1">
      <alignment vertical="center"/>
      <protection hidden="1"/>
    </xf>
    <xf numFmtId="0" fontId="25" fillId="4" borderId="19" xfId="0" applyFont="1" applyFill="1" applyBorder="1" applyAlignment="1" applyProtection="1">
      <alignment horizontal="center" vertical="center"/>
      <protection hidden="1"/>
    </xf>
    <xf numFmtId="0" fontId="25" fillId="49" borderId="25" xfId="0" applyFont="1" applyFill="1" applyBorder="1" applyAlignment="1" applyProtection="1">
      <alignment vertical="center" wrapText="1"/>
      <protection hidden="1"/>
    </xf>
    <xf numFmtId="0" fontId="25" fillId="3" borderId="20" xfId="0" applyFont="1" applyFill="1" applyBorder="1" applyAlignment="1" applyProtection="1">
      <alignment horizontal="center" vertical="center"/>
      <protection hidden="1"/>
    </xf>
    <xf numFmtId="0" fontId="25" fillId="0" borderId="20" xfId="0" applyFont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49" borderId="26" xfId="0" applyFont="1" applyFill="1" applyBorder="1" applyAlignment="1" applyProtection="1">
      <alignment vertical="top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217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49" borderId="26" xfId="0" applyFont="1" applyFill="1" applyBorder="1" applyAlignment="1" applyProtection="1">
      <alignment horizontal="center" vertical="top" wrapText="1"/>
      <protection hidden="1"/>
    </xf>
    <xf numFmtId="0" fontId="25" fillId="49" borderId="27" xfId="0" applyFont="1" applyFill="1" applyBorder="1" applyAlignment="1" applyProtection="1">
      <alignment horizontal="center" vertical="center"/>
      <protection hidden="1"/>
    </xf>
    <xf numFmtId="0" fontId="25" fillId="49" borderId="28" xfId="0" applyFont="1" applyFill="1" applyBorder="1" applyAlignment="1" applyProtection="1">
      <alignment horizontal="center" vertical="center"/>
      <protection hidden="1"/>
    </xf>
    <xf numFmtId="0" fontId="25" fillId="49" borderId="29" xfId="0" applyFont="1" applyFill="1" applyBorder="1" applyAlignment="1" applyProtection="1">
      <alignment horizontal="right" vertical="center"/>
      <protection hidden="1"/>
    </xf>
    <xf numFmtId="0" fontId="25" fillId="9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8" fillId="0" borderId="0" xfId="0" applyFont="1" applyAlignment="1" applyProtection="1">
      <alignment vertical="top"/>
      <protection hidden="1"/>
    </xf>
    <xf numFmtId="0" fontId="2" fillId="0" borderId="0" xfId="81" applyProtection="1">
      <alignment/>
      <protection hidden="1"/>
    </xf>
    <xf numFmtId="2" fontId="38" fillId="5" borderId="19" xfId="0" applyNumberFormat="1" applyFont="1" applyFill="1" applyBorder="1" applyAlignment="1" applyProtection="1">
      <alignment horizontal="center" vertical="center"/>
      <protection hidden="1"/>
    </xf>
    <xf numFmtId="0" fontId="0" fillId="18" borderId="19" xfId="0" applyFill="1" applyBorder="1" applyAlignment="1" applyProtection="1">
      <alignment horizontal="center" vertical="center"/>
      <protection hidden="1"/>
    </xf>
    <xf numFmtId="2" fontId="2" fillId="9" borderId="19" xfId="82" applyNumberFormat="1" applyFont="1" applyFill="1" applyBorder="1" applyAlignment="1" applyProtection="1">
      <alignment horizontal="center" vertical="center"/>
      <protection locked="0"/>
    </xf>
    <xf numFmtId="2" fontId="2" fillId="9" borderId="19" xfId="82" applyNumberFormat="1" applyFont="1" applyFill="1" applyBorder="1" applyAlignment="1" applyProtection="1">
      <alignment vertical="center"/>
      <protection locked="0"/>
    </xf>
    <xf numFmtId="2" fontId="2" fillId="8" borderId="19" xfId="83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25" fillId="49" borderId="26" xfId="0" applyFont="1" applyFill="1" applyBorder="1" applyAlignment="1" applyProtection="1">
      <alignment horizontal="center" vertical="center" wrapText="1"/>
      <protection hidden="1"/>
    </xf>
    <xf numFmtId="3" fontId="25" fillId="0" borderId="0" xfId="0" applyNumberFormat="1" applyFont="1" applyFill="1" applyBorder="1" applyAlignment="1" applyProtection="1">
      <alignment horizontal="center" vertical="center"/>
      <protection hidden="1"/>
    </xf>
    <xf numFmtId="4" fontId="25" fillId="0" borderId="0" xfId="0" applyNumberFormat="1" applyFont="1" applyFill="1" applyBorder="1" applyAlignment="1" applyProtection="1">
      <alignment horizontal="right" vertical="center"/>
      <protection hidden="1"/>
    </xf>
    <xf numFmtId="4" fontId="25" fillId="0" borderId="0" xfId="0" applyNumberFormat="1" applyFont="1" applyFill="1" applyBorder="1" applyAlignment="1" applyProtection="1">
      <alignment vertical="center"/>
      <protection hidden="1"/>
    </xf>
    <xf numFmtId="0" fontId="25" fillId="4" borderId="24" xfId="0" applyFont="1" applyFill="1" applyBorder="1" applyAlignment="1" applyProtection="1">
      <alignment vertical="center" wrapText="1"/>
      <protection locked="0"/>
    </xf>
    <xf numFmtId="0" fontId="25" fillId="49" borderId="22" xfId="0" applyFont="1" applyFill="1" applyBorder="1" applyAlignment="1" applyProtection="1">
      <alignment vertical="center" wrapText="1"/>
      <protection hidden="1"/>
    </xf>
    <xf numFmtId="0" fontId="25" fillId="49" borderId="24" xfId="0" applyFont="1" applyFill="1" applyBorder="1" applyAlignment="1" applyProtection="1">
      <alignment vertical="center" wrapText="1"/>
      <protection hidden="1"/>
    </xf>
    <xf numFmtId="0" fontId="47" fillId="49" borderId="25" xfId="0" applyFont="1" applyFill="1" applyBorder="1" applyAlignment="1" applyProtection="1">
      <alignment vertical="center" wrapText="1"/>
      <protection hidden="1"/>
    </xf>
    <xf numFmtId="0" fontId="35" fillId="49" borderId="30" xfId="0" applyFont="1" applyFill="1" applyBorder="1" applyAlignment="1" applyProtection="1">
      <alignment horizontal="right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39" fillId="49" borderId="0" xfId="0" applyFont="1" applyFill="1" applyBorder="1" applyAlignment="1" applyProtection="1">
      <alignment vertical="center" wrapText="1"/>
      <protection hidden="1"/>
    </xf>
    <xf numFmtId="0" fontId="39" fillId="49" borderId="25" xfId="0" applyFont="1" applyFill="1" applyBorder="1" applyAlignment="1" applyProtection="1">
      <alignment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9" borderId="19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vertical="center"/>
      <protection hidden="1"/>
    </xf>
    <xf numFmtId="2" fontId="39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25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25" fillId="4" borderId="26" xfId="0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27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47" fillId="2" borderId="26" xfId="0" applyFont="1" applyFill="1" applyBorder="1" applyAlignment="1" applyProtection="1">
      <alignment vertical="center"/>
      <protection hidden="1"/>
    </xf>
    <xf numFmtId="0" fontId="47" fillId="2" borderId="0" xfId="0" applyFont="1" applyFill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48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9" fillId="5" borderId="1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hidden="1"/>
    </xf>
    <xf numFmtId="0" fontId="25" fillId="2" borderId="0" xfId="0" applyFont="1" applyFill="1" applyAlignment="1" applyProtection="1">
      <alignment/>
      <protection hidden="1"/>
    </xf>
    <xf numFmtId="0" fontId="2" fillId="4" borderId="24" xfId="0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vertical="top" wrapText="1"/>
      <protection hidden="1"/>
    </xf>
    <xf numFmtId="0" fontId="25" fillId="49" borderId="22" xfId="0" applyFont="1" applyFill="1" applyBorder="1" applyAlignment="1" applyProtection="1">
      <alignment horizontal="center" vertical="top" wrapText="1"/>
      <protection hidden="1"/>
    </xf>
    <xf numFmtId="0" fontId="25" fillId="49" borderId="24" xfId="0" applyFont="1" applyFill="1" applyBorder="1" applyAlignment="1" applyProtection="1">
      <alignment horizontal="center" vertical="top" wrapText="1"/>
      <protection hidden="1"/>
    </xf>
    <xf numFmtId="0" fontId="25" fillId="49" borderId="23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217" fontId="2" fillId="0" borderId="0" xfId="60" applyNumberFormat="1" applyFont="1" applyFill="1" applyBorder="1" applyAlignment="1" applyProtection="1">
      <alignment vertical="center" wrapText="1"/>
      <protection locked="0"/>
    </xf>
    <xf numFmtId="2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/>
      <protection hidden="1"/>
    </xf>
    <xf numFmtId="0" fontId="45" fillId="49" borderId="31" xfId="0" applyFont="1" applyFill="1" applyBorder="1" applyAlignment="1" applyProtection="1">
      <alignment vertical="center"/>
      <protection hidden="1"/>
    </xf>
    <xf numFmtId="0" fontId="45" fillId="49" borderId="32" xfId="0" applyFont="1" applyFill="1" applyBorder="1" applyAlignment="1" applyProtection="1">
      <alignment vertical="center"/>
      <protection hidden="1"/>
    </xf>
    <xf numFmtId="0" fontId="25" fillId="0" borderId="24" xfId="0" applyFont="1" applyBorder="1" applyAlignment="1" applyProtection="1">
      <alignment vertical="center" wrapText="1"/>
      <protection hidden="1"/>
    </xf>
    <xf numFmtId="0" fontId="25" fillId="0" borderId="23" xfId="0" applyFont="1" applyBorder="1" applyAlignment="1" applyProtection="1">
      <alignment vertical="center" wrapText="1"/>
      <protection hidden="1"/>
    </xf>
    <xf numFmtId="0" fontId="25" fillId="0" borderId="0" xfId="0" applyFont="1" applyAlignment="1" applyProtection="1">
      <alignment vertical="top"/>
      <protection hidden="1"/>
    </xf>
    <xf numFmtId="0" fontId="25" fillId="8" borderId="24" xfId="0" applyFont="1" applyFill="1" applyBorder="1" applyAlignment="1" applyProtection="1">
      <alignment vertical="center" wrapText="1"/>
      <protection hidden="1"/>
    </xf>
    <xf numFmtId="0" fontId="25" fillId="8" borderId="0" xfId="0" applyFont="1" applyFill="1" applyBorder="1" applyAlignment="1" applyProtection="1">
      <alignment horizontal="center" vertical="center" wrapText="1"/>
      <protection locked="0"/>
    </xf>
    <xf numFmtId="0" fontId="25" fillId="8" borderId="26" xfId="0" applyFont="1" applyFill="1" applyBorder="1" applyAlignment="1" applyProtection="1">
      <alignment horizontal="center" vertical="center" wrapText="1"/>
      <protection locked="0"/>
    </xf>
    <xf numFmtId="0" fontId="42" fillId="46" borderId="33" xfId="0" applyFont="1" applyFill="1" applyBorder="1" applyAlignment="1" applyProtection="1">
      <alignment horizontal="center" vertical="center"/>
      <protection hidden="1"/>
    </xf>
    <xf numFmtId="0" fontId="42" fillId="46" borderId="19" xfId="0" applyFont="1" applyFill="1" applyBorder="1" applyAlignment="1" applyProtection="1">
      <alignment horizontal="center" vertical="center"/>
      <protection hidden="1"/>
    </xf>
    <xf numFmtId="0" fontId="50" fillId="49" borderId="19" xfId="0" applyFont="1" applyFill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4" fontId="38" fillId="49" borderId="24" xfId="0" applyNumberFormat="1" applyFont="1" applyFill="1" applyBorder="1" applyAlignment="1" applyProtection="1">
      <alignment horizontal="center" wrapText="1"/>
      <protection hidden="1"/>
    </xf>
    <xf numFmtId="0" fontId="41" fillId="0" borderId="22" xfId="0" applyFont="1" applyBorder="1" applyAlignment="1" applyProtection="1">
      <alignment/>
      <protection hidden="1"/>
    </xf>
    <xf numFmtId="2" fontId="25" fillId="0" borderId="0" xfId="0" applyNumberFormat="1" applyFont="1" applyAlignment="1" applyProtection="1">
      <alignment/>
      <protection hidden="1"/>
    </xf>
    <xf numFmtId="0" fontId="39" fillId="0" borderId="0" xfId="0" applyFont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217" fontId="25" fillId="3" borderId="34" xfId="60" applyNumberFormat="1" applyFont="1" applyFill="1" applyBorder="1" applyAlignment="1" applyProtection="1">
      <alignment vertical="center"/>
      <protection locked="0"/>
    </xf>
    <xf numFmtId="2" fontId="25" fillId="9" borderId="35" xfId="0" applyNumberFormat="1" applyFont="1" applyFill="1" applyBorder="1" applyAlignment="1" applyProtection="1">
      <alignment horizontal="center" vertical="center"/>
      <protection hidden="1"/>
    </xf>
    <xf numFmtId="217" fontId="2" fillId="8" borderId="36" xfId="60" applyNumberFormat="1" applyFont="1" applyFill="1" applyBorder="1" applyAlignment="1" applyProtection="1">
      <alignment vertical="center" wrapText="1"/>
      <protection locked="0"/>
    </xf>
    <xf numFmtId="217" fontId="2" fillId="8" borderId="37" xfId="60" applyNumberFormat="1" applyFont="1" applyFill="1" applyBorder="1" applyAlignment="1" applyProtection="1">
      <alignment vertical="center" wrapText="1"/>
      <protection locked="0"/>
    </xf>
    <xf numFmtId="2" fontId="25" fillId="9" borderId="38" xfId="0" applyNumberFormat="1" applyFont="1" applyFill="1" applyBorder="1" applyAlignment="1" applyProtection="1">
      <alignment horizontal="center" vertical="center"/>
      <protection hidden="1"/>
    </xf>
    <xf numFmtId="0" fontId="2" fillId="49" borderId="19" xfId="0" applyFont="1" applyFill="1" applyBorder="1" applyAlignment="1" applyProtection="1">
      <alignment horizontal="left" vertical="top" wrapText="1"/>
      <protection locked="0"/>
    </xf>
    <xf numFmtId="0" fontId="37" fillId="49" borderId="22" xfId="0" applyFont="1" applyFill="1" applyBorder="1" applyAlignment="1" applyProtection="1">
      <alignment horizontal="center" vertical="center" wrapText="1"/>
      <protection hidden="1"/>
    </xf>
    <xf numFmtId="0" fontId="37" fillId="49" borderId="24" xfId="0" applyFont="1" applyFill="1" applyBorder="1" applyAlignment="1" applyProtection="1">
      <alignment horizontal="center" vertical="center" wrapText="1"/>
      <protection hidden="1"/>
    </xf>
    <xf numFmtId="0" fontId="37" fillId="49" borderId="23" xfId="0" applyFont="1" applyFill="1" applyBorder="1" applyAlignment="1" applyProtection="1">
      <alignment horizontal="center" vertical="center" wrapText="1"/>
      <protection hidden="1"/>
    </xf>
    <xf numFmtId="2" fontId="51" fillId="49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9" xfId="0" applyFont="1" applyBorder="1" applyAlignment="1" applyProtection="1">
      <alignment vertical="center" wrapText="1"/>
      <protection hidden="1"/>
    </xf>
    <xf numFmtId="0" fontId="51" fillId="49" borderId="24" xfId="0" applyFont="1" applyFill="1" applyBorder="1" applyAlignment="1" applyProtection="1">
      <alignment horizontal="center" vertical="center"/>
      <protection locked="0"/>
    </xf>
    <xf numFmtId="0" fontId="2" fillId="41" borderId="19" xfId="82" applyFont="1" applyFill="1" applyBorder="1" applyAlignment="1" applyProtection="1">
      <alignment horizontal="center"/>
      <protection hidden="1"/>
    </xf>
    <xf numFmtId="0" fontId="2" fillId="4" borderId="19" xfId="83" applyFont="1" applyFill="1" applyBorder="1" applyAlignment="1" applyProtection="1">
      <alignment horizontal="center"/>
      <protection hidden="1"/>
    </xf>
    <xf numFmtId="0" fontId="2" fillId="4" borderId="19" xfId="85" applyFont="1" applyFill="1" applyBorder="1" applyAlignment="1" applyProtection="1">
      <alignment horizontal="center"/>
      <protection hidden="1"/>
    </xf>
    <xf numFmtId="0" fontId="2" fillId="41" borderId="19" xfId="86" applyFont="1" applyFill="1" applyBorder="1" applyAlignment="1" applyProtection="1">
      <alignment horizontal="center"/>
      <protection hidden="1"/>
    </xf>
    <xf numFmtId="0" fontId="2" fillId="4" borderId="19" xfId="87" applyFont="1" applyFill="1" applyBorder="1" applyAlignment="1" applyProtection="1">
      <alignment horizontal="center"/>
      <protection hidden="1"/>
    </xf>
    <xf numFmtId="0" fontId="2" fillId="41" borderId="19" xfId="75" applyFont="1" applyFill="1" applyBorder="1" applyAlignment="1" applyProtection="1">
      <alignment horizontal="center"/>
      <protection hidden="1"/>
    </xf>
    <xf numFmtId="0" fontId="2" fillId="41" borderId="19" xfId="77" applyFont="1" applyFill="1" applyBorder="1" applyAlignment="1" applyProtection="1">
      <alignment horizontal="center"/>
      <protection hidden="1"/>
    </xf>
    <xf numFmtId="0" fontId="2" fillId="41" borderId="19" xfId="78" applyFont="1" applyFill="1" applyBorder="1" applyAlignment="1" applyProtection="1">
      <alignment horizontal="center" vertical="center"/>
      <protection hidden="1"/>
    </xf>
    <xf numFmtId="2" fontId="22" fillId="8" borderId="19" xfId="78" applyNumberFormat="1" applyFont="1" applyFill="1" applyBorder="1" applyAlignment="1" applyProtection="1">
      <alignment horizontal="center" vertical="center"/>
      <protection hidden="1"/>
    </xf>
    <xf numFmtId="0" fontId="0" fillId="4" borderId="19" xfId="0" applyFill="1" applyBorder="1" applyAlignment="1" applyProtection="1">
      <alignment horizontal="center" vertical="center"/>
      <protection hidden="1"/>
    </xf>
    <xf numFmtId="2" fontId="38" fillId="9" borderId="19" xfId="0" applyNumberFormat="1" applyFont="1" applyFill="1" applyBorder="1" applyAlignment="1" applyProtection="1">
      <alignment horizontal="center" vertical="center"/>
      <protection hidden="1"/>
    </xf>
    <xf numFmtId="0" fontId="0" fillId="41" borderId="19" xfId="0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 horizontal="center" vertical="center"/>
      <protection hidden="1"/>
    </xf>
    <xf numFmtId="0" fontId="0" fillId="18" borderId="19" xfId="0" applyFill="1" applyBorder="1" applyAlignment="1" applyProtection="1">
      <alignment/>
      <protection hidden="1"/>
    </xf>
    <xf numFmtId="0" fontId="0" fillId="8" borderId="19" xfId="0" applyFill="1" applyBorder="1" applyAlignment="1" applyProtection="1">
      <alignment horizontal="center" vertical="center"/>
      <protection hidden="1"/>
    </xf>
    <xf numFmtId="0" fontId="0" fillId="4" borderId="19" xfId="0" applyFill="1" applyBorder="1" applyAlignment="1" applyProtection="1">
      <alignment/>
      <protection hidden="1"/>
    </xf>
    <xf numFmtId="0" fontId="0" fillId="9" borderId="19" xfId="0" applyFill="1" applyBorder="1" applyAlignment="1" applyProtection="1">
      <alignment horizontal="center" vertical="center"/>
      <protection hidden="1"/>
    </xf>
    <xf numFmtId="2" fontId="47" fillId="41" borderId="19" xfId="86" applyNumberFormat="1" applyFont="1" applyFill="1" applyBorder="1" applyAlignment="1" applyProtection="1">
      <alignment horizontal="center" vertical="center"/>
      <protection hidden="1"/>
    </xf>
    <xf numFmtId="2" fontId="50" fillId="49" borderId="24" xfId="0" applyNumberFormat="1" applyFont="1" applyFill="1" applyBorder="1" applyAlignment="1" applyProtection="1">
      <alignment horizontal="center" vertical="center"/>
      <protection locked="0"/>
    </xf>
    <xf numFmtId="0" fontId="54" fillId="49" borderId="33" xfId="0" applyFont="1" applyFill="1" applyBorder="1" applyAlignment="1" applyProtection="1">
      <alignment vertical="center"/>
      <protection hidden="1"/>
    </xf>
    <xf numFmtId="0" fontId="54" fillId="49" borderId="20" xfId="0" applyFont="1" applyFill="1" applyBorder="1" applyAlignment="1" applyProtection="1">
      <alignment vertical="center"/>
      <protection hidden="1"/>
    </xf>
    <xf numFmtId="0" fontId="54" fillId="0" borderId="19" xfId="0" applyFont="1" applyBorder="1" applyAlignment="1" applyProtection="1">
      <alignment horizontal="center" vertical="top" wrapText="1"/>
      <protection hidden="1"/>
    </xf>
    <xf numFmtId="0" fontId="55" fillId="49" borderId="33" xfId="0" applyFont="1" applyFill="1" applyBorder="1" applyAlignment="1" applyProtection="1">
      <alignment vertical="center"/>
      <protection hidden="1"/>
    </xf>
    <xf numFmtId="0" fontId="55" fillId="49" borderId="20" xfId="0" applyFont="1" applyFill="1" applyBorder="1" applyAlignment="1" applyProtection="1">
      <alignment vertical="center"/>
      <protection hidden="1"/>
    </xf>
    <xf numFmtId="0" fontId="55" fillId="0" borderId="19" xfId="0" applyFont="1" applyBorder="1" applyAlignment="1" applyProtection="1">
      <alignment horizontal="center" vertical="top" wrapText="1"/>
      <protection hidden="1"/>
    </xf>
    <xf numFmtId="0" fontId="56" fillId="49" borderId="33" xfId="0" applyFont="1" applyFill="1" applyBorder="1" applyAlignment="1" applyProtection="1">
      <alignment vertical="center"/>
      <protection hidden="1"/>
    </xf>
    <xf numFmtId="0" fontId="56" fillId="49" borderId="20" xfId="0" applyFont="1" applyFill="1" applyBorder="1" applyAlignment="1" applyProtection="1">
      <alignment vertical="center"/>
      <protection hidden="1"/>
    </xf>
    <xf numFmtId="0" fontId="56" fillId="0" borderId="19" xfId="0" applyFont="1" applyBorder="1" applyAlignment="1" applyProtection="1">
      <alignment horizontal="center" vertical="top" wrapText="1"/>
      <protection hidden="1"/>
    </xf>
    <xf numFmtId="0" fontId="25" fillId="49" borderId="21" xfId="0" applyFont="1" applyFill="1" applyBorder="1" applyAlignment="1" applyProtection="1">
      <alignment horizontal="center" vertical="center"/>
      <protection hidden="1"/>
    </xf>
    <xf numFmtId="0" fontId="25" fillId="49" borderId="33" xfId="0" applyFont="1" applyFill="1" applyBorder="1" applyAlignment="1" applyProtection="1">
      <alignment vertical="center"/>
      <protection hidden="1"/>
    </xf>
    <xf numFmtId="0" fontId="25" fillId="49" borderId="20" xfId="0" applyFont="1" applyFill="1" applyBorder="1" applyAlignment="1" applyProtection="1">
      <alignment vertical="center"/>
      <protection hidden="1"/>
    </xf>
    <xf numFmtId="0" fontId="25" fillId="0" borderId="19" xfId="0" applyFont="1" applyBorder="1" applyAlignment="1" applyProtection="1">
      <alignment vertical="center"/>
      <protection hidden="1"/>
    </xf>
    <xf numFmtId="2" fontId="25" fillId="0" borderId="19" xfId="0" applyNumberFormat="1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/>
      <protection hidden="1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Alignment="1" applyProtection="1">
      <alignment/>
      <protection hidden="1"/>
    </xf>
    <xf numFmtId="0" fontId="57" fillId="49" borderId="21" xfId="0" applyFont="1" applyFill="1" applyBorder="1" applyAlignment="1" applyProtection="1">
      <alignment horizontal="center" vertical="center"/>
      <protection hidden="1"/>
    </xf>
    <xf numFmtId="0" fontId="57" fillId="49" borderId="33" xfId="0" applyFont="1" applyFill="1" applyBorder="1" applyAlignment="1" applyProtection="1">
      <alignment vertical="center"/>
      <protection hidden="1"/>
    </xf>
    <xf numFmtId="0" fontId="57" fillId="49" borderId="20" xfId="0" applyFont="1" applyFill="1" applyBorder="1" applyAlignment="1" applyProtection="1">
      <alignment vertical="center"/>
      <protection hidden="1"/>
    </xf>
    <xf numFmtId="0" fontId="57" fillId="0" borderId="19" xfId="0" applyFont="1" applyBorder="1" applyAlignment="1" applyProtection="1">
      <alignment vertical="center"/>
      <protection hidden="1"/>
    </xf>
    <xf numFmtId="2" fontId="57" fillId="0" borderId="19" xfId="0" applyNumberFormat="1" applyFont="1" applyBorder="1" applyAlignment="1" applyProtection="1">
      <alignment horizontal="center" vertical="center"/>
      <protection hidden="1"/>
    </xf>
    <xf numFmtId="2" fontId="47" fillId="0" borderId="19" xfId="0" applyNumberFormat="1" applyFont="1" applyBorder="1" applyAlignment="1" applyProtection="1">
      <alignment horizontal="center" vertical="center"/>
      <protection hidden="1"/>
    </xf>
    <xf numFmtId="0" fontId="57" fillId="0" borderId="19" xfId="0" applyFont="1" applyBorder="1" applyAlignment="1" applyProtection="1">
      <alignment vertical="center" wrapText="1"/>
      <protection hidden="1"/>
    </xf>
    <xf numFmtId="0" fontId="57" fillId="0" borderId="19" xfId="0" applyFont="1" applyBorder="1" applyAlignment="1" applyProtection="1">
      <alignment/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Alignment="1" applyProtection="1">
      <alignment/>
      <protection hidden="1"/>
    </xf>
    <xf numFmtId="0" fontId="58" fillId="49" borderId="21" xfId="0" applyFont="1" applyFill="1" applyBorder="1" applyAlignment="1" applyProtection="1">
      <alignment horizontal="center" vertical="center"/>
      <protection hidden="1"/>
    </xf>
    <xf numFmtId="0" fontId="58" fillId="49" borderId="33" xfId="0" applyFont="1" applyFill="1" applyBorder="1" applyAlignment="1" applyProtection="1">
      <alignment vertical="center"/>
      <protection hidden="1"/>
    </xf>
    <xf numFmtId="0" fontId="58" fillId="49" borderId="20" xfId="0" applyFont="1" applyFill="1" applyBorder="1" applyAlignment="1" applyProtection="1">
      <alignment vertical="center"/>
      <protection hidden="1"/>
    </xf>
    <xf numFmtId="0" fontId="58" fillId="0" borderId="19" xfId="0" applyFont="1" applyBorder="1" applyAlignment="1" applyProtection="1">
      <alignment vertical="center"/>
      <protection hidden="1"/>
    </xf>
    <xf numFmtId="2" fontId="58" fillId="0" borderId="19" xfId="0" applyNumberFormat="1" applyFont="1" applyBorder="1" applyAlignment="1" applyProtection="1">
      <alignment horizontal="center" vertical="center"/>
      <protection hidden="1"/>
    </xf>
    <xf numFmtId="0" fontId="58" fillId="0" borderId="19" xfId="0" applyFont="1" applyBorder="1" applyAlignment="1" applyProtection="1">
      <alignment vertical="center" wrapText="1"/>
      <protection hidden="1"/>
    </xf>
    <xf numFmtId="0" fontId="58" fillId="0" borderId="19" xfId="0" applyFont="1" applyBorder="1" applyAlignment="1" applyProtection="1">
      <alignment/>
      <protection hidden="1"/>
    </xf>
    <xf numFmtId="0" fontId="25" fillId="0" borderId="21" xfId="0" applyFont="1" applyBorder="1" applyAlignment="1" applyProtection="1">
      <alignment vertical="center"/>
      <protection hidden="1"/>
    </xf>
    <xf numFmtId="2" fontId="25" fillId="0" borderId="21" xfId="0" applyNumberFormat="1" applyFont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/>
      <protection hidden="1"/>
    </xf>
    <xf numFmtId="0" fontId="25" fillId="49" borderId="21" xfId="0" applyFont="1" applyFill="1" applyBorder="1" applyAlignment="1" applyProtection="1">
      <alignment vertical="center" wrapText="1"/>
      <protection hidden="1"/>
    </xf>
    <xf numFmtId="2" fontId="25" fillId="49" borderId="21" xfId="0" applyNumberFormat="1" applyFont="1" applyFill="1" applyBorder="1" applyAlignment="1" applyProtection="1">
      <alignment horizontal="center" vertical="center"/>
      <protection hidden="1"/>
    </xf>
    <xf numFmtId="0" fontId="25" fillId="49" borderId="21" xfId="0" applyFont="1" applyFill="1" applyBorder="1" applyAlignment="1" applyProtection="1">
      <alignment vertical="center"/>
      <protection hidden="1"/>
    </xf>
    <xf numFmtId="0" fontId="25" fillId="49" borderId="21" xfId="0" applyFont="1" applyFill="1" applyBorder="1" applyAlignment="1" applyProtection="1">
      <alignment/>
      <protection hidden="1"/>
    </xf>
    <xf numFmtId="0" fontId="25" fillId="49" borderId="33" xfId="0" applyFont="1" applyFill="1" applyBorder="1" applyAlignment="1" applyProtection="1">
      <alignment vertical="center" wrapText="1"/>
      <protection hidden="1"/>
    </xf>
    <xf numFmtId="2" fontId="25" fillId="49" borderId="33" xfId="0" applyNumberFormat="1" applyFont="1" applyFill="1" applyBorder="1" applyAlignment="1" applyProtection="1">
      <alignment horizontal="center" vertical="center"/>
      <protection hidden="1"/>
    </xf>
    <xf numFmtId="0" fontId="25" fillId="49" borderId="33" xfId="0" applyFont="1" applyFill="1" applyBorder="1" applyAlignment="1" applyProtection="1">
      <alignment/>
      <protection hidden="1"/>
    </xf>
    <xf numFmtId="0" fontId="25" fillId="49" borderId="20" xfId="0" applyFont="1" applyFill="1" applyBorder="1" applyAlignment="1" applyProtection="1">
      <alignment vertical="center" wrapText="1"/>
      <protection hidden="1"/>
    </xf>
    <xf numFmtId="2" fontId="25" fillId="49" borderId="20" xfId="0" applyNumberFormat="1" applyFont="1" applyFill="1" applyBorder="1" applyAlignment="1" applyProtection="1">
      <alignment horizontal="center" vertical="center"/>
      <protection hidden="1"/>
    </xf>
    <xf numFmtId="0" fontId="25" fillId="0" borderId="20" xfId="0" applyFont="1" applyBorder="1" applyAlignment="1" applyProtection="1">
      <alignment vertical="center"/>
      <protection hidden="1"/>
    </xf>
    <xf numFmtId="2" fontId="25" fillId="0" borderId="20" xfId="0" applyNumberFormat="1" applyFont="1" applyBorder="1" applyAlignment="1" applyProtection="1">
      <alignment horizontal="center" vertical="center"/>
      <protection hidden="1"/>
    </xf>
    <xf numFmtId="0" fontId="25" fillId="0" borderId="20" xfId="0" applyFont="1" applyBorder="1" applyAlignment="1" applyProtection="1">
      <alignment/>
      <protection hidden="1"/>
    </xf>
    <xf numFmtId="0" fontId="57" fillId="0" borderId="21" xfId="0" applyFont="1" applyBorder="1" applyAlignment="1" applyProtection="1">
      <alignment vertical="center"/>
      <protection hidden="1"/>
    </xf>
    <xf numFmtId="2" fontId="57" fillId="0" borderId="21" xfId="0" applyNumberFormat="1" applyFont="1" applyBorder="1" applyAlignment="1" applyProtection="1">
      <alignment horizontal="center" vertical="center"/>
      <protection hidden="1"/>
    </xf>
    <xf numFmtId="0" fontId="57" fillId="0" borderId="21" xfId="0" applyFont="1" applyBorder="1" applyAlignment="1" applyProtection="1">
      <alignment/>
      <protection hidden="1"/>
    </xf>
    <xf numFmtId="0" fontId="57" fillId="49" borderId="21" xfId="0" applyFont="1" applyFill="1" applyBorder="1" applyAlignment="1" applyProtection="1">
      <alignment vertical="center" wrapText="1"/>
      <protection hidden="1"/>
    </xf>
    <xf numFmtId="2" fontId="57" fillId="49" borderId="21" xfId="0" applyNumberFormat="1" applyFont="1" applyFill="1" applyBorder="1" applyAlignment="1" applyProtection="1">
      <alignment horizontal="center" vertical="center"/>
      <protection hidden="1"/>
    </xf>
    <xf numFmtId="0" fontId="57" fillId="49" borderId="21" xfId="0" applyFont="1" applyFill="1" applyBorder="1" applyAlignment="1" applyProtection="1">
      <alignment vertical="center"/>
      <protection hidden="1"/>
    </xf>
    <xf numFmtId="0" fontId="57" fillId="49" borderId="21" xfId="0" applyFont="1" applyFill="1" applyBorder="1" applyAlignment="1" applyProtection="1">
      <alignment/>
      <protection hidden="1"/>
    </xf>
    <xf numFmtId="0" fontId="57" fillId="49" borderId="33" xfId="0" applyFont="1" applyFill="1" applyBorder="1" applyAlignment="1" applyProtection="1">
      <alignment vertical="center" wrapText="1"/>
      <protection hidden="1"/>
    </xf>
    <xf numFmtId="2" fontId="57" fillId="49" borderId="33" xfId="0" applyNumberFormat="1" applyFont="1" applyFill="1" applyBorder="1" applyAlignment="1" applyProtection="1">
      <alignment horizontal="center" vertical="center"/>
      <protection hidden="1"/>
    </xf>
    <xf numFmtId="0" fontId="57" fillId="49" borderId="33" xfId="0" applyFont="1" applyFill="1" applyBorder="1" applyAlignment="1" applyProtection="1">
      <alignment/>
      <protection hidden="1"/>
    </xf>
    <xf numFmtId="0" fontId="57" fillId="49" borderId="20" xfId="0" applyFont="1" applyFill="1" applyBorder="1" applyAlignment="1" applyProtection="1">
      <alignment vertical="center" wrapText="1"/>
      <protection hidden="1"/>
    </xf>
    <xf numFmtId="2" fontId="57" fillId="49" borderId="20" xfId="0" applyNumberFormat="1" applyFont="1" applyFill="1" applyBorder="1" applyAlignment="1" applyProtection="1">
      <alignment horizontal="center" vertical="center"/>
      <protection hidden="1"/>
    </xf>
    <xf numFmtId="0" fontId="57" fillId="0" borderId="20" xfId="0" applyFont="1" applyBorder="1" applyAlignment="1" applyProtection="1">
      <alignment vertical="center"/>
      <protection hidden="1"/>
    </xf>
    <xf numFmtId="2" fontId="57" fillId="0" borderId="20" xfId="0" applyNumberFormat="1" applyFont="1" applyBorder="1" applyAlignment="1" applyProtection="1">
      <alignment horizontal="center" vertical="center"/>
      <protection hidden="1"/>
    </xf>
    <xf numFmtId="0" fontId="57" fillId="0" borderId="20" xfId="0" applyFont="1" applyBorder="1" applyAlignment="1" applyProtection="1">
      <alignment/>
      <protection hidden="1"/>
    </xf>
    <xf numFmtId="0" fontId="58" fillId="0" borderId="21" xfId="0" applyFont="1" applyBorder="1" applyAlignment="1" applyProtection="1">
      <alignment vertical="center"/>
      <protection hidden="1"/>
    </xf>
    <xf numFmtId="2" fontId="58" fillId="0" borderId="21" xfId="0" applyNumberFormat="1" applyFont="1" applyBorder="1" applyAlignment="1" applyProtection="1">
      <alignment horizontal="center" vertical="center"/>
      <protection hidden="1"/>
    </xf>
    <xf numFmtId="0" fontId="58" fillId="0" borderId="21" xfId="0" applyFont="1" applyBorder="1" applyAlignment="1" applyProtection="1">
      <alignment/>
      <protection hidden="1"/>
    </xf>
    <xf numFmtId="0" fontId="58" fillId="49" borderId="21" xfId="0" applyFont="1" applyFill="1" applyBorder="1" applyAlignment="1" applyProtection="1">
      <alignment vertical="center" wrapText="1"/>
      <protection hidden="1"/>
    </xf>
    <xf numFmtId="2" fontId="58" fillId="49" borderId="21" xfId="0" applyNumberFormat="1" applyFont="1" applyFill="1" applyBorder="1" applyAlignment="1" applyProtection="1">
      <alignment horizontal="center" vertical="center"/>
      <protection hidden="1"/>
    </xf>
    <xf numFmtId="0" fontId="58" fillId="49" borderId="21" xfId="0" applyFont="1" applyFill="1" applyBorder="1" applyAlignment="1" applyProtection="1">
      <alignment vertical="center"/>
      <protection hidden="1"/>
    </xf>
    <xf numFmtId="0" fontId="58" fillId="49" borderId="21" xfId="0" applyFont="1" applyFill="1" applyBorder="1" applyAlignment="1" applyProtection="1">
      <alignment/>
      <protection hidden="1"/>
    </xf>
    <xf numFmtId="0" fontId="58" fillId="49" borderId="33" xfId="0" applyFont="1" applyFill="1" applyBorder="1" applyAlignment="1" applyProtection="1">
      <alignment vertical="center" wrapText="1"/>
      <protection hidden="1"/>
    </xf>
    <xf numFmtId="2" fontId="58" fillId="49" borderId="33" xfId="0" applyNumberFormat="1" applyFont="1" applyFill="1" applyBorder="1" applyAlignment="1" applyProtection="1">
      <alignment horizontal="center" vertical="center"/>
      <protection hidden="1"/>
    </xf>
    <xf numFmtId="0" fontId="58" fillId="49" borderId="33" xfId="0" applyFont="1" applyFill="1" applyBorder="1" applyAlignment="1" applyProtection="1">
      <alignment/>
      <protection hidden="1"/>
    </xf>
    <xf numFmtId="0" fontId="58" fillId="49" borderId="20" xfId="0" applyFont="1" applyFill="1" applyBorder="1" applyAlignment="1" applyProtection="1">
      <alignment vertical="center" wrapText="1"/>
      <protection hidden="1"/>
    </xf>
    <xf numFmtId="2" fontId="58" fillId="49" borderId="20" xfId="0" applyNumberFormat="1" applyFont="1" applyFill="1" applyBorder="1" applyAlignment="1" applyProtection="1">
      <alignment horizontal="center" vertical="center"/>
      <protection hidden="1"/>
    </xf>
    <xf numFmtId="0" fontId="58" fillId="0" borderId="20" xfId="0" applyFont="1" applyBorder="1" applyAlignment="1" applyProtection="1">
      <alignment vertical="center"/>
      <protection hidden="1"/>
    </xf>
    <xf numFmtId="2" fontId="58" fillId="0" borderId="20" xfId="0" applyNumberFormat="1" applyFont="1" applyBorder="1" applyAlignment="1" applyProtection="1">
      <alignment horizontal="center" vertical="center"/>
      <protection hidden="1"/>
    </xf>
    <xf numFmtId="0" fontId="58" fillId="0" borderId="20" xfId="0" applyFont="1" applyBorder="1" applyAlignment="1" applyProtection="1">
      <alignment/>
      <protection hidden="1"/>
    </xf>
    <xf numFmtId="0" fontId="25" fillId="0" borderId="19" xfId="0" applyFont="1" applyBorder="1" applyAlignment="1" applyProtection="1">
      <alignment horizontal="justify" vertical="center"/>
      <protection hidden="1"/>
    </xf>
    <xf numFmtId="0" fontId="57" fillId="0" borderId="19" xfId="0" applyFont="1" applyBorder="1" applyAlignment="1" applyProtection="1">
      <alignment horizontal="justify" vertical="center"/>
      <protection hidden="1"/>
    </xf>
    <xf numFmtId="0" fontId="58" fillId="0" borderId="19" xfId="0" applyFont="1" applyBorder="1" applyAlignment="1" applyProtection="1">
      <alignment horizontal="justify" vertical="center"/>
      <protection hidden="1"/>
    </xf>
    <xf numFmtId="0" fontId="25" fillId="0" borderId="23" xfId="0" applyFont="1" applyBorder="1" applyAlignment="1" applyProtection="1">
      <alignment/>
      <protection hidden="1"/>
    </xf>
    <xf numFmtId="0" fontId="57" fillId="0" borderId="23" xfId="0" applyFont="1" applyBorder="1" applyAlignment="1" applyProtection="1">
      <alignment/>
      <protection hidden="1"/>
    </xf>
    <xf numFmtId="0" fontId="58" fillId="0" borderId="23" xfId="0" applyFont="1" applyBorder="1" applyAlignment="1" applyProtection="1">
      <alignment/>
      <protection hidden="1"/>
    </xf>
    <xf numFmtId="0" fontId="45" fillId="0" borderId="19" xfId="0" applyFont="1" applyBorder="1" applyAlignment="1" applyProtection="1">
      <alignment vertical="center"/>
      <protection hidden="1"/>
    </xf>
    <xf numFmtId="0" fontId="45" fillId="0" borderId="19" xfId="0" applyFont="1" applyBorder="1" applyAlignment="1" applyProtection="1">
      <alignment vertical="center" wrapText="1"/>
      <protection hidden="1"/>
    </xf>
    <xf numFmtId="0" fontId="59" fillId="0" borderId="19" xfId="0" applyFont="1" applyBorder="1" applyAlignment="1" applyProtection="1">
      <alignment vertical="center"/>
      <protection hidden="1"/>
    </xf>
    <xf numFmtId="0" fontId="59" fillId="0" borderId="19" xfId="0" applyFont="1" applyBorder="1" applyAlignment="1" applyProtection="1">
      <alignment vertical="center" wrapText="1"/>
      <protection hidden="1"/>
    </xf>
    <xf numFmtId="0" fontId="60" fillId="0" borderId="19" xfId="0" applyFont="1" applyBorder="1" applyAlignment="1" applyProtection="1">
      <alignment vertical="center"/>
      <protection hidden="1"/>
    </xf>
    <xf numFmtId="0" fontId="60" fillId="0" borderId="19" xfId="0" applyFont="1" applyBorder="1" applyAlignment="1" applyProtection="1">
      <alignment vertical="center" wrapText="1"/>
      <protection hidden="1"/>
    </xf>
    <xf numFmtId="0" fontId="50" fillId="49" borderId="24" xfId="0" applyFont="1" applyFill="1" applyBorder="1" applyAlignment="1" applyProtection="1">
      <alignment horizontal="center" vertical="center"/>
      <protection locked="0"/>
    </xf>
    <xf numFmtId="2" fontId="25" fillId="0" borderId="19" xfId="0" applyNumberFormat="1" applyFont="1" applyBorder="1" applyAlignment="1" applyProtection="1">
      <alignment horizontal="left" vertical="top" wrapText="1"/>
      <protection locked="0"/>
    </xf>
    <xf numFmtId="1" fontId="50" fillId="49" borderId="24" xfId="0" applyNumberFormat="1" applyFont="1" applyFill="1" applyBorder="1" applyAlignment="1" applyProtection="1">
      <alignment horizontal="center" vertical="center"/>
      <protection locked="0"/>
    </xf>
    <xf numFmtId="1" fontId="50" fillId="49" borderId="19" xfId="0" applyNumberFormat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 wrapText="1"/>
      <protection locked="0"/>
    </xf>
    <xf numFmtId="0" fontId="25" fillId="4" borderId="27" xfId="0" applyFont="1" applyFill="1" applyBorder="1" applyAlignment="1" applyProtection="1">
      <alignment horizontal="center" vertical="center" wrapText="1"/>
      <protection locked="0"/>
    </xf>
    <xf numFmtId="217" fontId="25" fillId="5" borderId="19" xfId="0" applyNumberFormat="1" applyFont="1" applyFill="1" applyBorder="1" applyAlignment="1" applyProtection="1">
      <alignment horizontal="center" vertical="center"/>
      <protection hidden="1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25" fillId="9" borderId="21" xfId="0" applyFont="1" applyFill="1" applyBorder="1" applyAlignment="1" applyProtection="1">
      <alignment horizontal="center" vertical="center" wrapText="1"/>
      <protection hidden="1"/>
    </xf>
    <xf numFmtId="0" fontId="25" fillId="9" borderId="33" xfId="0" applyFont="1" applyFill="1" applyBorder="1" applyAlignment="1" applyProtection="1">
      <alignment horizontal="center" vertical="center" wrapText="1"/>
      <protection hidden="1"/>
    </xf>
    <xf numFmtId="0" fontId="25" fillId="9" borderId="20" xfId="0" applyFont="1" applyFill="1" applyBorder="1" applyAlignment="1" applyProtection="1">
      <alignment horizontal="center" vertical="center" wrapText="1"/>
      <protection hidden="1"/>
    </xf>
    <xf numFmtId="0" fontId="25" fillId="0" borderId="22" xfId="0" applyFont="1" applyBorder="1" applyAlignment="1" applyProtection="1">
      <alignment/>
      <protection hidden="1"/>
    </xf>
    <xf numFmtId="0" fontId="25" fillId="0" borderId="23" xfId="0" applyFont="1" applyBorder="1" applyAlignment="1" applyProtection="1">
      <alignment/>
      <protection hidden="1"/>
    </xf>
    <xf numFmtId="215" fontId="25" fillId="0" borderId="30" xfId="60" applyNumberFormat="1" applyFont="1" applyFill="1" applyBorder="1" applyAlignment="1" applyProtection="1">
      <alignment/>
      <protection hidden="1"/>
    </xf>
    <xf numFmtId="215" fontId="25" fillId="0" borderId="28" xfId="60" applyNumberFormat="1" applyFont="1" applyFill="1" applyBorder="1" applyAlignment="1" applyProtection="1">
      <alignment/>
      <protection hidden="1"/>
    </xf>
    <xf numFmtId="217" fontId="2" fillId="8" borderId="37" xfId="60" applyNumberFormat="1" applyFont="1" applyFill="1" applyBorder="1" applyAlignment="1" applyProtection="1">
      <alignment vertical="center" wrapText="1"/>
      <protection locked="0"/>
    </xf>
    <xf numFmtId="217" fontId="2" fillId="8" borderId="39" xfId="60" applyNumberFormat="1" applyFont="1" applyFill="1" applyBorder="1" applyAlignment="1" applyProtection="1">
      <alignment vertical="center" wrapText="1"/>
      <protection locked="0"/>
    </xf>
    <xf numFmtId="0" fontId="21" fillId="3" borderId="40" xfId="0" applyFont="1" applyFill="1" applyBorder="1" applyAlignment="1" applyProtection="1">
      <alignment vertical="center"/>
      <protection hidden="1"/>
    </xf>
    <xf numFmtId="0" fontId="21" fillId="3" borderId="41" xfId="0" applyFont="1" applyFill="1" applyBorder="1" applyAlignment="1" applyProtection="1">
      <alignment vertical="center"/>
      <protection hidden="1"/>
    </xf>
    <xf numFmtId="0" fontId="21" fillId="3" borderId="42" xfId="0" applyFont="1" applyFill="1" applyBorder="1" applyAlignment="1" applyProtection="1">
      <alignment vertical="center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textRotation="90" wrapText="1"/>
      <protection hidden="1"/>
    </xf>
    <xf numFmtId="0" fontId="2" fillId="0" borderId="33" xfId="0" applyFont="1" applyBorder="1" applyAlignment="1" applyProtection="1">
      <alignment horizontal="center" textRotation="90" wrapText="1"/>
      <protection hidden="1"/>
    </xf>
    <xf numFmtId="0" fontId="2" fillId="0" borderId="20" xfId="0" applyFont="1" applyBorder="1" applyAlignment="1" applyProtection="1">
      <alignment horizontal="center" textRotation="90" wrapText="1"/>
      <protection hidden="1"/>
    </xf>
    <xf numFmtId="0" fontId="26" fillId="9" borderId="21" xfId="0" applyFont="1" applyFill="1" applyBorder="1" applyAlignment="1" applyProtection="1">
      <alignment horizontal="center" vertical="center" wrapText="1"/>
      <protection hidden="1"/>
    </xf>
    <xf numFmtId="0" fontId="26" fillId="9" borderId="33" xfId="0" applyFont="1" applyFill="1" applyBorder="1" applyAlignment="1" applyProtection="1">
      <alignment horizontal="center" vertical="center" wrapText="1"/>
      <protection hidden="1"/>
    </xf>
    <xf numFmtId="0" fontId="26" fillId="9" borderId="20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vertical="top" wrapText="1"/>
      <protection hidden="1"/>
    </xf>
    <xf numFmtId="0" fontId="25" fillId="0" borderId="33" xfId="0" applyFont="1" applyBorder="1" applyAlignment="1" applyProtection="1">
      <alignment vertical="top" wrapText="1"/>
      <protection hidden="1"/>
    </xf>
    <xf numFmtId="0" fontId="25" fillId="0" borderId="20" xfId="0" applyFont="1" applyBorder="1" applyAlignment="1" applyProtection="1">
      <alignment vertical="top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5" fillId="0" borderId="27" xfId="0" applyFont="1" applyBorder="1" applyAlignment="1" applyProtection="1">
      <alignment/>
      <protection hidden="1"/>
    </xf>
    <xf numFmtId="0" fontId="25" fillId="0" borderId="32" xfId="0" applyFont="1" applyBorder="1" applyAlignment="1" applyProtection="1">
      <alignment/>
      <protection hidden="1"/>
    </xf>
    <xf numFmtId="0" fontId="25" fillId="0" borderId="29" xfId="0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horizontal="center" vertical="center"/>
      <protection hidden="1"/>
    </xf>
    <xf numFmtId="0" fontId="25" fillId="0" borderId="27" xfId="0" applyFont="1" applyBorder="1" applyAlignment="1" applyProtection="1">
      <alignment horizontal="left" vertical="center"/>
      <protection hidden="1"/>
    </xf>
    <xf numFmtId="0" fontId="25" fillId="0" borderId="32" xfId="0" applyFont="1" applyBorder="1" applyAlignment="1" applyProtection="1">
      <alignment horizontal="left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47" fillId="49" borderId="0" xfId="0" applyFont="1" applyFill="1" applyBorder="1" applyAlignment="1" applyProtection="1">
      <alignment horizontal="left" vertical="center" wrapText="1"/>
      <protection hidden="1"/>
    </xf>
    <xf numFmtId="0" fontId="47" fillId="49" borderId="25" xfId="0" applyFont="1" applyFill="1" applyBorder="1" applyAlignment="1" applyProtection="1">
      <alignment horizontal="left" vertical="center" wrapText="1"/>
      <protection hidden="1"/>
    </xf>
    <xf numFmtId="0" fontId="25" fillId="0" borderId="30" xfId="0" applyFont="1" applyBorder="1" applyAlignment="1" applyProtection="1">
      <alignment horizontal="center" vertical="top" wrapText="1"/>
      <protection hidden="1"/>
    </xf>
    <xf numFmtId="0" fontId="25" fillId="0" borderId="28" xfId="0" applyFont="1" applyBorder="1" applyAlignment="1" applyProtection="1">
      <alignment horizontal="center" vertical="top" wrapText="1"/>
      <protection hidden="1"/>
    </xf>
    <xf numFmtId="0" fontId="25" fillId="0" borderId="31" xfId="0" applyFont="1" applyBorder="1" applyAlignment="1" applyProtection="1">
      <alignment horizontal="center" vertical="top" wrapText="1"/>
      <protection hidden="1"/>
    </xf>
    <xf numFmtId="0" fontId="39" fillId="0" borderId="30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9" fillId="8" borderId="19" xfId="0" applyFont="1" applyFill="1" applyBorder="1" applyAlignment="1" applyProtection="1">
      <alignment horizontal="left" vertical="center"/>
      <protection hidden="1"/>
    </xf>
    <xf numFmtId="0" fontId="50" fillId="0" borderId="3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37" fillId="49" borderId="29" xfId="0" applyFont="1" applyFill="1" applyBorder="1" applyAlignment="1" applyProtection="1">
      <alignment horizontal="center" vertical="center" wrapText="1"/>
      <protection hidden="1"/>
    </xf>
    <xf numFmtId="0" fontId="37" fillId="49" borderId="27" xfId="0" applyFont="1" applyFill="1" applyBorder="1" applyAlignment="1" applyProtection="1">
      <alignment horizontal="center" vertical="center" wrapText="1"/>
      <protection hidden="1"/>
    </xf>
    <xf numFmtId="0" fontId="37" fillId="49" borderId="32" xfId="0" applyFont="1" applyFill="1" applyBorder="1" applyAlignment="1" applyProtection="1">
      <alignment horizontal="center" vertical="center" wrapText="1"/>
      <protection hidden="1"/>
    </xf>
    <xf numFmtId="0" fontId="37" fillId="49" borderId="26" xfId="0" applyFont="1" applyFill="1" applyBorder="1" applyAlignment="1" applyProtection="1">
      <alignment horizontal="center" vertical="center" wrapText="1"/>
      <protection hidden="1"/>
    </xf>
    <xf numFmtId="0" fontId="37" fillId="49" borderId="0" xfId="0" applyFont="1" applyFill="1" applyBorder="1" applyAlignment="1" applyProtection="1">
      <alignment horizontal="center" vertical="center" wrapText="1"/>
      <protection hidden="1"/>
    </xf>
    <xf numFmtId="0" fontId="37" fillId="49" borderId="25" xfId="0" applyFont="1" applyFill="1" applyBorder="1" applyAlignment="1" applyProtection="1">
      <alignment horizontal="center" vertical="center" wrapText="1"/>
      <protection hidden="1"/>
    </xf>
    <xf numFmtId="0" fontId="37" fillId="49" borderId="30" xfId="0" applyFont="1" applyFill="1" applyBorder="1" applyAlignment="1" applyProtection="1">
      <alignment horizontal="center" vertical="center" wrapText="1"/>
      <protection hidden="1"/>
    </xf>
    <xf numFmtId="0" fontId="37" fillId="49" borderId="28" xfId="0" applyFont="1" applyFill="1" applyBorder="1" applyAlignment="1" applyProtection="1">
      <alignment horizontal="center" vertical="center" wrapText="1"/>
      <protection hidden="1"/>
    </xf>
    <xf numFmtId="0" fontId="37" fillId="49" borderId="31" xfId="0" applyFont="1" applyFill="1" applyBorder="1" applyAlignment="1" applyProtection="1">
      <alignment horizontal="center" vertical="center" wrapText="1"/>
      <protection hidden="1"/>
    </xf>
    <xf numFmtId="0" fontId="40" fillId="0" borderId="21" xfId="0" applyFont="1" applyBorder="1" applyAlignment="1" applyProtection="1">
      <alignment horizontal="center" vertical="center"/>
      <protection hidden="1"/>
    </xf>
    <xf numFmtId="0" fontId="40" fillId="0" borderId="33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center" vertical="center"/>
      <protection hidden="1"/>
    </xf>
    <xf numFmtId="0" fontId="25" fillId="49" borderId="0" xfId="0" applyFont="1" applyFill="1" applyBorder="1" applyAlignment="1" applyProtection="1">
      <alignment horizontal="left"/>
      <protection hidden="1"/>
    </xf>
    <xf numFmtId="0" fontId="25" fillId="49" borderId="25" xfId="0" applyFont="1" applyFill="1" applyBorder="1" applyAlignment="1" applyProtection="1">
      <alignment horizontal="left"/>
      <protection hidden="1"/>
    </xf>
    <xf numFmtId="0" fontId="25" fillId="49" borderId="0" xfId="0" applyFont="1" applyFill="1" applyBorder="1" applyAlignment="1" applyProtection="1">
      <alignment horizontal="center" vertical="center" wrapText="1"/>
      <protection hidden="1"/>
    </xf>
    <xf numFmtId="0" fontId="25" fillId="49" borderId="25" xfId="0" applyFont="1" applyFill="1" applyBorder="1" applyAlignment="1" applyProtection="1">
      <alignment horizontal="center" vertical="center" wrapText="1"/>
      <protection hidden="1"/>
    </xf>
    <xf numFmtId="0" fontId="25" fillId="0" borderId="30" xfId="0" applyFont="1" applyBorder="1" applyAlignment="1" applyProtection="1">
      <alignment horizontal="center" vertical="center" wrapText="1"/>
      <protection hidden="1"/>
    </xf>
    <xf numFmtId="0" fontId="25" fillId="0" borderId="28" xfId="0" applyFont="1" applyBorder="1" applyAlignment="1" applyProtection="1">
      <alignment horizontal="center" vertical="center" wrapText="1"/>
      <protection hidden="1"/>
    </xf>
    <xf numFmtId="0" fontId="25" fillId="0" borderId="31" xfId="0" applyFont="1" applyBorder="1" applyAlignment="1" applyProtection="1">
      <alignment horizontal="center" vertical="center" wrapText="1"/>
      <protection hidden="1"/>
    </xf>
    <xf numFmtId="217" fontId="25" fillId="3" borderId="40" xfId="60" applyNumberFormat="1" applyFont="1" applyFill="1" applyBorder="1" applyAlignment="1" applyProtection="1">
      <alignment vertical="center"/>
      <protection locked="0"/>
    </xf>
    <xf numFmtId="217" fontId="25" fillId="3" borderId="41" xfId="60" applyNumberFormat="1" applyFont="1" applyFill="1" applyBorder="1" applyAlignment="1" applyProtection="1">
      <alignment vertical="center"/>
      <protection locked="0"/>
    </xf>
    <xf numFmtId="217" fontId="25" fillId="3" borderId="42" xfId="60" applyNumberFormat="1" applyFont="1" applyFill="1" applyBorder="1" applyAlignment="1" applyProtection="1">
      <alignment vertical="center"/>
      <protection locked="0"/>
    </xf>
    <xf numFmtId="0" fontId="25" fillId="0" borderId="19" xfId="0" applyFont="1" applyBorder="1" applyAlignment="1" applyProtection="1">
      <alignment horizontal="left" vertical="top" wrapText="1"/>
      <protection locked="0"/>
    </xf>
    <xf numFmtId="0" fontId="42" fillId="0" borderId="29" xfId="0" applyFont="1" applyBorder="1" applyAlignment="1" applyProtection="1">
      <alignment horizontal="center" vertical="center"/>
      <protection hidden="1"/>
    </xf>
    <xf numFmtId="0" fontId="42" fillId="0" borderId="27" xfId="0" applyFont="1" applyBorder="1" applyAlignment="1" applyProtection="1">
      <alignment horizontal="center" vertical="center"/>
      <protection hidden="1"/>
    </xf>
    <xf numFmtId="0" fontId="42" fillId="0" borderId="32" xfId="0" applyFont="1" applyBorder="1" applyAlignment="1" applyProtection="1">
      <alignment horizontal="center" vertical="center"/>
      <protection hidden="1"/>
    </xf>
    <xf numFmtId="0" fontId="42" fillId="0" borderId="30" xfId="0" applyFont="1" applyBorder="1" applyAlignment="1" applyProtection="1">
      <alignment horizontal="center" vertical="center"/>
      <protection hidden="1"/>
    </xf>
    <xf numFmtId="0" fontId="42" fillId="0" borderId="28" xfId="0" applyFont="1" applyBorder="1" applyAlignment="1" applyProtection="1">
      <alignment horizontal="center" vertical="center"/>
      <protection hidden="1"/>
    </xf>
    <xf numFmtId="0" fontId="42" fillId="0" borderId="31" xfId="0" applyFont="1" applyBorder="1" applyAlignment="1" applyProtection="1">
      <alignment horizontal="center" vertical="center"/>
      <protection hidden="1"/>
    </xf>
    <xf numFmtId="0" fontId="21" fillId="4" borderId="43" xfId="0" applyFont="1" applyFill="1" applyBorder="1" applyAlignment="1" applyProtection="1">
      <alignment horizontal="left" vertical="center"/>
      <protection hidden="1"/>
    </xf>
    <xf numFmtId="0" fontId="21" fillId="4" borderId="44" xfId="0" applyFont="1" applyFill="1" applyBorder="1" applyAlignment="1" applyProtection="1">
      <alignment horizontal="left" vertical="center"/>
      <protection hidden="1"/>
    </xf>
    <xf numFmtId="0" fontId="25" fillId="9" borderId="19" xfId="0" applyFont="1" applyFill="1" applyBorder="1" applyAlignment="1" applyProtection="1">
      <alignment horizontal="center" vertical="center" wrapText="1"/>
      <protection hidden="1"/>
    </xf>
    <xf numFmtId="0" fontId="25" fillId="0" borderId="29" xfId="0" applyFont="1" applyBorder="1" applyAlignment="1" applyProtection="1">
      <alignment horizontal="right" vertical="center" wrapText="1"/>
      <protection hidden="1"/>
    </xf>
    <xf numFmtId="0" fontId="25" fillId="0" borderId="27" xfId="0" applyFont="1" applyBorder="1" applyAlignment="1" applyProtection="1">
      <alignment horizontal="right" vertical="center" wrapText="1"/>
      <protection hidden="1"/>
    </xf>
    <xf numFmtId="0" fontId="25" fillId="0" borderId="30" xfId="0" applyFont="1" applyBorder="1" applyAlignment="1" applyProtection="1">
      <alignment horizontal="right" vertical="center" wrapText="1"/>
      <protection hidden="1"/>
    </xf>
    <xf numFmtId="0" fontId="25" fillId="0" borderId="28" xfId="0" applyFont="1" applyBorder="1" applyAlignment="1" applyProtection="1">
      <alignment horizontal="right" vertical="center" wrapText="1"/>
      <protection hidden="1"/>
    </xf>
    <xf numFmtId="203" fontId="25" fillId="8" borderId="32" xfId="0" applyNumberFormat="1" applyFont="1" applyFill="1" applyBorder="1" applyAlignment="1" applyProtection="1">
      <alignment horizontal="left" vertical="center" wrapText="1"/>
      <protection locked="0"/>
    </xf>
    <xf numFmtId="203" fontId="25" fillId="8" borderId="31" xfId="0" applyNumberFormat="1" applyFont="1" applyFill="1" applyBorder="1" applyAlignment="1" applyProtection="1">
      <alignment horizontal="left" vertical="center" wrapText="1"/>
      <protection locked="0"/>
    </xf>
    <xf numFmtId="2" fontId="45" fillId="49" borderId="24" xfId="0" applyNumberFormat="1" applyFont="1" applyFill="1" applyBorder="1" applyAlignment="1" applyProtection="1">
      <alignment horizontal="left" wrapText="1"/>
      <protection hidden="1"/>
    </xf>
    <xf numFmtId="2" fontId="45" fillId="49" borderId="23" xfId="0" applyNumberFormat="1" applyFont="1" applyFill="1" applyBorder="1" applyAlignment="1" applyProtection="1">
      <alignment horizontal="left" wrapText="1"/>
      <protection hidden="1"/>
    </xf>
    <xf numFmtId="4" fontId="25" fillId="49" borderId="22" xfId="0" applyNumberFormat="1" applyFont="1" applyFill="1" applyBorder="1" applyAlignment="1" applyProtection="1">
      <alignment horizontal="right" wrapText="1"/>
      <protection hidden="1"/>
    </xf>
    <xf numFmtId="4" fontId="25" fillId="49" borderId="24" xfId="0" applyNumberFormat="1" applyFont="1" applyFill="1" applyBorder="1" applyAlignment="1" applyProtection="1">
      <alignment horizontal="right" wrapText="1"/>
      <protection hidden="1"/>
    </xf>
    <xf numFmtId="217" fontId="25" fillId="49" borderId="24" xfId="0" applyNumberFormat="1" applyFont="1" applyFill="1" applyBorder="1" applyAlignment="1" applyProtection="1">
      <alignment horizontal="center" vertical="top" wrapText="1"/>
      <protection hidden="1"/>
    </xf>
    <xf numFmtId="217" fontId="25" fillId="49" borderId="23" xfId="0" applyNumberFormat="1" applyFont="1" applyFill="1" applyBorder="1" applyAlignment="1" applyProtection="1">
      <alignment horizontal="center" vertical="top" wrapText="1"/>
      <protection hidden="1"/>
    </xf>
    <xf numFmtId="2" fontId="43" fillId="49" borderId="22" xfId="0" applyNumberFormat="1" applyFont="1" applyFill="1" applyBorder="1" applyAlignment="1" applyProtection="1">
      <alignment horizontal="right" wrapText="1"/>
      <protection hidden="1"/>
    </xf>
    <xf numFmtId="2" fontId="43" fillId="49" borderId="24" xfId="0" applyNumberFormat="1" applyFont="1" applyFill="1" applyBorder="1" applyAlignment="1" applyProtection="1">
      <alignment horizontal="right" wrapText="1"/>
      <protection hidden="1"/>
    </xf>
    <xf numFmtId="203" fontId="25" fillId="8" borderId="45" xfId="0" applyNumberFormat="1" applyFont="1" applyFill="1" applyBorder="1" applyAlignment="1" applyProtection="1">
      <alignment vertical="center"/>
      <protection locked="0"/>
    </xf>
    <xf numFmtId="203" fontId="25" fillId="8" borderId="46" xfId="0" applyNumberFormat="1" applyFont="1" applyFill="1" applyBorder="1" applyAlignment="1" applyProtection="1">
      <alignment vertical="center"/>
      <protection locked="0"/>
    </xf>
    <xf numFmtId="203" fontId="25" fillId="8" borderId="47" xfId="0" applyNumberFormat="1" applyFont="1" applyFill="1" applyBorder="1" applyAlignment="1" applyProtection="1">
      <alignment vertical="center"/>
      <protection locked="0"/>
    </xf>
    <xf numFmtId="217" fontId="25" fillId="17" borderId="22" xfId="0" applyNumberFormat="1" applyFont="1" applyFill="1" applyBorder="1" applyAlignment="1" applyProtection="1">
      <alignment horizontal="center" vertical="center"/>
      <protection hidden="1"/>
    </xf>
    <xf numFmtId="217" fontId="25" fillId="17" borderId="23" xfId="0" applyNumberFormat="1" applyFont="1" applyFill="1" applyBorder="1" applyAlignment="1" applyProtection="1">
      <alignment horizontal="center" vertical="center"/>
      <protection hidden="1"/>
    </xf>
    <xf numFmtId="0" fontId="42" fillId="0" borderId="29" xfId="0" applyFont="1" applyBorder="1" applyAlignment="1" applyProtection="1">
      <alignment horizontal="center" vertical="center"/>
      <protection hidden="1"/>
    </xf>
    <xf numFmtId="0" fontId="42" fillId="0" borderId="27" xfId="0" applyFont="1" applyBorder="1" applyAlignment="1" applyProtection="1">
      <alignment horizontal="center" vertical="center"/>
      <protection hidden="1"/>
    </xf>
    <xf numFmtId="0" fontId="42" fillId="0" borderId="32" xfId="0" applyFont="1" applyBorder="1" applyAlignment="1" applyProtection="1">
      <alignment horizontal="center" vertical="center"/>
      <protection hidden="1"/>
    </xf>
    <xf numFmtId="0" fontId="42" fillId="0" borderId="26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42" fillId="0" borderId="25" xfId="0" applyFont="1" applyBorder="1" applyAlignment="1" applyProtection="1">
      <alignment horizontal="center" vertical="center"/>
      <protection hidden="1"/>
    </xf>
    <xf numFmtId="0" fontId="42" fillId="0" borderId="30" xfId="0" applyFont="1" applyBorder="1" applyAlignment="1" applyProtection="1">
      <alignment horizontal="center" vertical="center"/>
      <protection hidden="1"/>
    </xf>
    <xf numFmtId="0" fontId="42" fillId="0" borderId="28" xfId="0" applyFont="1" applyBorder="1" applyAlignment="1" applyProtection="1">
      <alignment horizontal="center" vertical="center"/>
      <protection hidden="1"/>
    </xf>
    <xf numFmtId="0" fontId="42" fillId="0" borderId="31" xfId="0" applyFont="1" applyBorder="1" applyAlignment="1" applyProtection="1">
      <alignment horizontal="center" vertical="center"/>
      <protection hidden="1"/>
    </xf>
    <xf numFmtId="2" fontId="41" fillId="49" borderId="24" xfId="0" applyNumberFormat="1" applyFont="1" applyFill="1" applyBorder="1" applyAlignment="1" applyProtection="1">
      <alignment horizontal="left" wrapText="1"/>
      <protection hidden="1"/>
    </xf>
    <xf numFmtId="2" fontId="41" fillId="49" borderId="23" xfId="0" applyNumberFormat="1" applyFont="1" applyFill="1" applyBorder="1" applyAlignment="1" applyProtection="1">
      <alignment horizontal="left" wrapText="1"/>
      <protection hidden="1"/>
    </xf>
    <xf numFmtId="0" fontId="3" fillId="8" borderId="45" xfId="0" applyFont="1" applyFill="1" applyBorder="1" applyAlignment="1" applyProtection="1">
      <alignment vertical="center"/>
      <protection hidden="1"/>
    </xf>
    <xf numFmtId="0" fontId="3" fillId="8" borderId="46" xfId="0" applyFont="1" applyFill="1" applyBorder="1" applyAlignment="1" applyProtection="1">
      <alignment vertical="center"/>
      <protection hidden="1"/>
    </xf>
    <xf numFmtId="0" fontId="3" fillId="8" borderId="47" xfId="0" applyFont="1" applyFill="1" applyBorder="1" applyAlignment="1" applyProtection="1">
      <alignment vertical="center"/>
      <protection hidden="1"/>
    </xf>
    <xf numFmtId="1" fontId="41" fillId="49" borderId="22" xfId="0" applyNumberFormat="1" applyFont="1" applyFill="1" applyBorder="1" applyAlignment="1" applyProtection="1">
      <alignment horizontal="center" vertical="top" wrapText="1"/>
      <protection hidden="1"/>
    </xf>
    <xf numFmtId="1" fontId="41" fillId="49" borderId="24" xfId="0" applyNumberFormat="1" applyFont="1" applyFill="1" applyBorder="1" applyAlignment="1" applyProtection="1">
      <alignment horizontal="center" vertical="top" wrapText="1"/>
      <protection hidden="1"/>
    </xf>
    <xf numFmtId="1" fontId="41" fillId="49" borderId="23" xfId="0" applyNumberFormat="1" applyFont="1" applyFill="1" applyBorder="1" applyAlignment="1" applyProtection="1">
      <alignment horizontal="center" vertical="top" wrapText="1"/>
      <protection hidden="1"/>
    </xf>
    <xf numFmtId="217" fontId="25" fillId="18" borderId="22" xfId="0" applyNumberFormat="1" applyFont="1" applyFill="1" applyBorder="1" applyAlignment="1" applyProtection="1">
      <alignment horizontal="center" vertical="center"/>
      <protection hidden="1"/>
    </xf>
    <xf numFmtId="217" fontId="25" fillId="18" borderId="23" xfId="0" applyNumberFormat="1" applyFont="1" applyFill="1" applyBorder="1" applyAlignment="1" applyProtection="1">
      <alignment horizontal="center" vertical="center"/>
      <protection hidden="1"/>
    </xf>
    <xf numFmtId="203" fontId="53" fillId="8" borderId="32" xfId="0" applyNumberFormat="1" applyFont="1" applyFill="1" applyBorder="1" applyAlignment="1" applyProtection="1">
      <alignment horizontal="left" vertical="center" wrapText="1"/>
      <protection locked="0"/>
    </xf>
    <xf numFmtId="203" fontId="53" fillId="8" borderId="31" xfId="0" applyNumberFormat="1" applyFont="1" applyFill="1" applyBorder="1" applyAlignment="1" applyProtection="1">
      <alignment horizontal="left" vertical="center" wrapText="1"/>
      <protection locked="0"/>
    </xf>
    <xf numFmtId="0" fontId="47" fillId="8" borderId="22" xfId="0" applyFont="1" applyFill="1" applyBorder="1" applyAlignment="1" applyProtection="1">
      <alignment horizontal="left" vertical="center"/>
      <protection hidden="1"/>
    </xf>
    <xf numFmtId="0" fontId="47" fillId="8" borderId="24" xfId="0" applyFont="1" applyFill="1" applyBorder="1" applyAlignment="1" applyProtection="1">
      <alignment horizontal="left" vertical="center"/>
      <protection hidden="1"/>
    </xf>
    <xf numFmtId="0" fontId="47" fillId="8" borderId="23" xfId="0" applyFont="1" applyFill="1" applyBorder="1" applyAlignment="1" applyProtection="1">
      <alignment horizontal="left" vertical="center"/>
      <protection hidden="1"/>
    </xf>
    <xf numFmtId="0" fontId="25" fillId="0" borderId="21" xfId="0" applyFont="1" applyBorder="1" applyAlignment="1" applyProtection="1">
      <alignment horizontal="left" vertical="top" wrapText="1"/>
      <protection locked="0"/>
    </xf>
    <xf numFmtId="0" fontId="25" fillId="0" borderId="33" xfId="0" applyFont="1" applyBorder="1" applyAlignment="1" applyProtection="1">
      <alignment horizontal="left" vertical="top" wrapText="1"/>
      <protection locked="0"/>
    </xf>
    <xf numFmtId="0" fontId="25" fillId="0" borderId="20" xfId="0" applyFont="1" applyBorder="1" applyAlignment="1" applyProtection="1">
      <alignment horizontal="left" vertical="top" wrapText="1"/>
      <protection locked="0"/>
    </xf>
    <xf numFmtId="0" fontId="21" fillId="4" borderId="42" xfId="0" applyFont="1" applyFill="1" applyBorder="1" applyAlignment="1" applyProtection="1">
      <alignment horizontal="center" vertical="center"/>
      <protection hidden="1"/>
    </xf>
    <xf numFmtId="0" fontId="21" fillId="4" borderId="47" xfId="0" applyFont="1" applyFill="1" applyBorder="1" applyAlignment="1" applyProtection="1">
      <alignment horizontal="center" vertical="center"/>
      <protection hidden="1"/>
    </xf>
    <xf numFmtId="217" fontId="25" fillId="3" borderId="30" xfId="60" applyNumberFormat="1" applyFont="1" applyFill="1" applyBorder="1" applyAlignment="1" applyProtection="1">
      <alignment vertical="center"/>
      <protection locked="0"/>
    </xf>
    <xf numFmtId="217" fontId="25" fillId="3" borderId="28" xfId="60" applyNumberFormat="1" applyFont="1" applyFill="1" applyBorder="1" applyAlignment="1" applyProtection="1">
      <alignment vertical="center"/>
      <protection locked="0"/>
    </xf>
    <xf numFmtId="217" fontId="25" fillId="3" borderId="31" xfId="60" applyNumberFormat="1" applyFont="1" applyFill="1" applyBorder="1" applyAlignment="1" applyProtection="1">
      <alignment vertical="center"/>
      <protection locked="0"/>
    </xf>
    <xf numFmtId="0" fontId="25" fillId="0" borderId="40" xfId="0" applyFont="1" applyBorder="1" applyAlignment="1" applyProtection="1">
      <alignment/>
      <protection hidden="1"/>
    </xf>
    <xf numFmtId="0" fontId="25" fillId="0" borderId="41" xfId="0" applyFont="1" applyBorder="1" applyAlignment="1" applyProtection="1">
      <alignment/>
      <protection hidden="1"/>
    </xf>
    <xf numFmtId="0" fontId="25" fillId="0" borderId="48" xfId="0" applyFont="1" applyBorder="1" applyAlignment="1" applyProtection="1">
      <alignment/>
      <protection hidden="1"/>
    </xf>
    <xf numFmtId="0" fontId="2" fillId="0" borderId="21" xfId="0" applyFont="1" applyBorder="1" applyAlignment="1" applyProtection="1">
      <alignment horizontal="left" vertical="top" wrapText="1"/>
      <protection hidden="1"/>
    </xf>
    <xf numFmtId="0" fontId="2" fillId="0" borderId="33" xfId="0" applyFont="1" applyBorder="1" applyAlignment="1" applyProtection="1">
      <alignment horizontal="left" vertical="top" wrapText="1"/>
      <protection hidden="1"/>
    </xf>
    <xf numFmtId="0" fontId="2" fillId="0" borderId="20" xfId="0" applyFont="1" applyBorder="1" applyAlignment="1" applyProtection="1">
      <alignment horizontal="left" vertical="top" wrapText="1"/>
      <protection hidden="1"/>
    </xf>
    <xf numFmtId="0" fontId="39" fillId="49" borderId="0" xfId="0" applyFont="1" applyFill="1" applyBorder="1" applyAlignment="1" applyProtection="1">
      <alignment horizontal="center" vertical="center" wrapText="1"/>
      <protection hidden="1"/>
    </xf>
    <xf numFmtId="0" fontId="39" fillId="49" borderId="25" xfId="0" applyFont="1" applyFill="1" applyBorder="1" applyAlignment="1" applyProtection="1">
      <alignment horizontal="center" vertical="center" wrapText="1"/>
      <protection hidden="1"/>
    </xf>
    <xf numFmtId="0" fontId="25" fillId="0" borderId="21" xfId="0" applyFont="1" applyBorder="1" applyAlignment="1" applyProtection="1">
      <alignment horizontal="left" vertical="top" wrapText="1"/>
      <protection hidden="1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25" fillId="0" borderId="29" xfId="0" applyFont="1" applyBorder="1" applyAlignment="1" applyProtection="1">
      <alignment horizontal="left" vertical="top" wrapText="1"/>
      <protection hidden="1"/>
    </xf>
    <xf numFmtId="0" fontId="25" fillId="0" borderId="26" xfId="0" applyFont="1" applyBorder="1" applyAlignment="1" applyProtection="1">
      <alignment horizontal="left" vertical="top" wrapText="1"/>
      <protection hidden="1"/>
    </xf>
    <xf numFmtId="0" fontId="25" fillId="0" borderId="30" xfId="0" applyFont="1" applyBorder="1" applyAlignment="1" applyProtection="1">
      <alignment horizontal="left" vertical="top" wrapText="1"/>
      <protection hidden="1"/>
    </xf>
    <xf numFmtId="0" fontId="47" fillId="8" borderId="19" xfId="0" applyFont="1" applyFill="1" applyBorder="1" applyAlignment="1" applyProtection="1">
      <alignment horizontal="left" vertical="center"/>
      <protection hidden="1"/>
    </xf>
    <xf numFmtId="0" fontId="39" fillId="0" borderId="0" xfId="0" applyFont="1" applyFill="1" applyBorder="1" applyAlignment="1" applyProtection="1">
      <alignment horizontal="left" vertical="center"/>
      <protection hidden="1"/>
    </xf>
    <xf numFmtId="2" fontId="47" fillId="49" borderId="29" xfId="0" applyNumberFormat="1" applyFont="1" applyFill="1" applyBorder="1" applyAlignment="1" applyProtection="1">
      <alignment horizontal="center" vertical="center"/>
      <protection locked="0"/>
    </xf>
    <xf numFmtId="2" fontId="47" fillId="49" borderId="27" xfId="0" applyNumberFormat="1" applyFont="1" applyFill="1" applyBorder="1" applyAlignment="1" applyProtection="1">
      <alignment horizontal="center" vertical="center"/>
      <protection locked="0"/>
    </xf>
    <xf numFmtId="2" fontId="47" fillId="49" borderId="32" xfId="0" applyNumberFormat="1" applyFont="1" applyFill="1" applyBorder="1" applyAlignment="1" applyProtection="1">
      <alignment horizontal="center" vertical="center"/>
      <protection locked="0"/>
    </xf>
    <xf numFmtId="2" fontId="47" fillId="49" borderId="30" xfId="0" applyNumberFormat="1" applyFont="1" applyFill="1" applyBorder="1" applyAlignment="1" applyProtection="1">
      <alignment horizontal="center" vertical="center"/>
      <protection locked="0"/>
    </xf>
    <xf numFmtId="2" fontId="47" fillId="49" borderId="28" xfId="0" applyNumberFormat="1" applyFont="1" applyFill="1" applyBorder="1" applyAlignment="1" applyProtection="1">
      <alignment horizontal="center" vertical="center"/>
      <protection locked="0"/>
    </xf>
    <xf numFmtId="2" fontId="47" fillId="49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left" vertical="top" wrapText="1"/>
      <protection locked="0"/>
    </xf>
    <xf numFmtId="0" fontId="25" fillId="0" borderId="33" xfId="0" applyFont="1" applyBorder="1" applyAlignment="1" applyProtection="1">
      <alignment horizontal="left" vertical="top" wrapText="1"/>
      <protection hidden="1"/>
    </xf>
    <xf numFmtId="0" fontId="25" fillId="0" borderId="20" xfId="0" applyFont="1" applyBorder="1" applyAlignment="1" applyProtection="1">
      <alignment horizontal="left" vertical="top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/>
      <protection hidden="1"/>
    </xf>
    <xf numFmtId="0" fontId="25" fillId="0" borderId="25" xfId="0" applyFont="1" applyBorder="1" applyAlignment="1" applyProtection="1">
      <alignment/>
      <protection hidden="1"/>
    </xf>
    <xf numFmtId="0" fontId="25" fillId="0" borderId="26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5" fillId="0" borderId="25" xfId="0" applyFont="1" applyBorder="1" applyAlignment="1" applyProtection="1">
      <alignment horizontal="left" vertical="center"/>
      <protection hidden="1"/>
    </xf>
    <xf numFmtId="0" fontId="25" fillId="49" borderId="0" xfId="0" applyFont="1" applyFill="1" applyBorder="1" applyAlignment="1" applyProtection="1">
      <alignment horizontal="left" vertical="center"/>
      <protection hidden="1"/>
    </xf>
    <xf numFmtId="0" fontId="25" fillId="49" borderId="25" xfId="0" applyFont="1" applyFill="1" applyBorder="1" applyAlignment="1" applyProtection="1">
      <alignment horizontal="left" vertical="center"/>
      <protection hidden="1"/>
    </xf>
    <xf numFmtId="0" fontId="39" fillId="0" borderId="28" xfId="0" applyFont="1" applyBorder="1" applyAlignment="1" applyProtection="1">
      <alignment horizontal="center" vertical="center" wrapText="1"/>
      <protection hidden="1"/>
    </xf>
    <xf numFmtId="0" fontId="39" fillId="0" borderId="31" xfId="0" applyFont="1" applyBorder="1" applyAlignment="1" applyProtection="1">
      <alignment horizontal="center" vertical="center" wrapText="1"/>
      <protection hidden="1"/>
    </xf>
    <xf numFmtId="0" fontId="39" fillId="8" borderId="22" xfId="0" applyFont="1" applyFill="1" applyBorder="1" applyAlignment="1" applyProtection="1">
      <alignment horizontal="left" vertical="center"/>
      <protection hidden="1"/>
    </xf>
    <xf numFmtId="0" fontId="39" fillId="8" borderId="24" xfId="0" applyFont="1" applyFill="1" applyBorder="1" applyAlignment="1" applyProtection="1">
      <alignment horizontal="left" vertical="center"/>
      <protection hidden="1"/>
    </xf>
    <xf numFmtId="0" fontId="39" fillId="8" borderId="23" xfId="0" applyFont="1" applyFill="1" applyBorder="1" applyAlignment="1" applyProtection="1">
      <alignment horizontal="left" vertical="center"/>
      <protection hidden="1"/>
    </xf>
    <xf numFmtId="0" fontId="2" fillId="0" borderId="29" xfId="0" applyFont="1" applyBorder="1" applyAlignment="1" applyProtection="1">
      <alignment horizontal="center" wrapText="1"/>
      <protection hidden="1"/>
    </xf>
    <xf numFmtId="0" fontId="25" fillId="0" borderId="27" xfId="0" applyFont="1" applyBorder="1" applyAlignment="1" applyProtection="1">
      <alignment/>
      <protection hidden="1"/>
    </xf>
    <xf numFmtId="0" fontId="25" fillId="0" borderId="32" xfId="0" applyFont="1" applyBorder="1" applyAlignment="1" applyProtection="1">
      <alignment/>
      <protection hidden="1"/>
    </xf>
    <xf numFmtId="3" fontId="25" fillId="4" borderId="22" xfId="0" applyNumberFormat="1" applyFont="1" applyFill="1" applyBorder="1" applyAlignment="1" applyProtection="1">
      <alignment horizontal="center" vertical="center"/>
      <protection hidden="1"/>
    </xf>
    <xf numFmtId="3" fontId="25" fillId="4" borderId="23" xfId="0" applyNumberFormat="1" applyFont="1" applyFill="1" applyBorder="1" applyAlignment="1" applyProtection="1">
      <alignment horizontal="center" vertical="center"/>
      <protection hidden="1"/>
    </xf>
    <xf numFmtId="39" fontId="25" fillId="0" borderId="0" xfId="60" applyNumberFormat="1" applyFont="1" applyBorder="1" applyAlignment="1" applyProtection="1">
      <alignment horizontal="center" vertical="top"/>
      <protection hidden="1"/>
    </xf>
    <xf numFmtId="39" fontId="25" fillId="0" borderId="25" xfId="60" applyNumberFormat="1" applyFont="1" applyBorder="1" applyAlignment="1" applyProtection="1">
      <alignment horizontal="center" vertical="top"/>
      <protection hidden="1"/>
    </xf>
    <xf numFmtId="39" fontId="25" fillId="0" borderId="28" xfId="60" applyNumberFormat="1" applyFont="1" applyBorder="1" applyAlignment="1" applyProtection="1">
      <alignment horizontal="center" vertical="top"/>
      <protection hidden="1"/>
    </xf>
    <xf numFmtId="39" fontId="25" fillId="0" borderId="31" xfId="60" applyNumberFormat="1" applyFont="1" applyBorder="1" applyAlignment="1" applyProtection="1">
      <alignment horizontal="center" vertical="top"/>
      <protection hidden="1"/>
    </xf>
    <xf numFmtId="0" fontId="25" fillId="8" borderId="22" xfId="0" applyFont="1" applyFill="1" applyBorder="1" applyAlignment="1" applyProtection="1">
      <alignment horizontal="center" vertical="center"/>
      <protection hidden="1"/>
    </xf>
    <xf numFmtId="0" fontId="25" fillId="8" borderId="24" xfId="0" applyFont="1" applyFill="1" applyBorder="1" applyAlignment="1" applyProtection="1">
      <alignment horizontal="center" vertical="center"/>
      <protection hidden="1"/>
    </xf>
    <xf numFmtId="0" fontId="25" fillId="8" borderId="23" xfId="0" applyFont="1" applyFill="1" applyBorder="1" applyAlignment="1" applyProtection="1">
      <alignment horizontal="center" vertical="center"/>
      <protection hidden="1"/>
    </xf>
    <xf numFmtId="0" fontId="42" fillId="49" borderId="29" xfId="0" applyFont="1" applyFill="1" applyBorder="1" applyAlignment="1" applyProtection="1">
      <alignment horizontal="center" vertical="center"/>
      <protection hidden="1"/>
    </xf>
    <xf numFmtId="0" fontId="42" fillId="49" borderId="27" xfId="0" applyFont="1" applyFill="1" applyBorder="1" applyAlignment="1" applyProtection="1">
      <alignment horizontal="center" vertical="center"/>
      <protection hidden="1"/>
    </xf>
    <xf numFmtId="0" fontId="42" fillId="49" borderId="32" xfId="0" applyFont="1" applyFill="1" applyBorder="1" applyAlignment="1" applyProtection="1">
      <alignment horizontal="center" vertical="center"/>
      <protection hidden="1"/>
    </xf>
    <xf numFmtId="0" fontId="42" fillId="49" borderId="30" xfId="0" applyFont="1" applyFill="1" applyBorder="1" applyAlignment="1" applyProtection="1">
      <alignment horizontal="center" vertical="center"/>
      <protection hidden="1"/>
    </xf>
    <xf numFmtId="0" fontId="42" fillId="49" borderId="28" xfId="0" applyFont="1" applyFill="1" applyBorder="1" applyAlignment="1" applyProtection="1">
      <alignment horizontal="center" vertical="center"/>
      <protection hidden="1"/>
    </xf>
    <xf numFmtId="0" fontId="42" fillId="49" borderId="31" xfId="0" applyFont="1" applyFill="1" applyBorder="1" applyAlignment="1" applyProtection="1">
      <alignment horizontal="center" vertical="center"/>
      <protection hidden="1"/>
    </xf>
    <xf numFmtId="4" fontId="25" fillId="8" borderId="29" xfId="0" applyNumberFormat="1" applyFont="1" applyFill="1" applyBorder="1" applyAlignment="1" applyProtection="1">
      <alignment horizontal="center" wrapText="1"/>
      <protection locked="0"/>
    </xf>
    <xf numFmtId="4" fontId="25" fillId="8" borderId="27" xfId="0" applyNumberFormat="1" applyFont="1" applyFill="1" applyBorder="1" applyAlignment="1" applyProtection="1">
      <alignment horizontal="center" wrapText="1"/>
      <protection locked="0"/>
    </xf>
    <xf numFmtId="4" fontId="25" fillId="8" borderId="32" xfId="0" applyNumberFormat="1" applyFont="1" applyFill="1" applyBorder="1" applyAlignment="1" applyProtection="1">
      <alignment horizontal="center" wrapText="1"/>
      <protection locked="0"/>
    </xf>
    <xf numFmtId="4" fontId="25" fillId="49" borderId="30" xfId="0" applyNumberFormat="1" applyFont="1" applyFill="1" applyBorder="1" applyAlignment="1" applyProtection="1">
      <alignment horizontal="center"/>
      <protection hidden="1"/>
    </xf>
    <xf numFmtId="4" fontId="25" fillId="49" borderId="28" xfId="0" applyNumberFormat="1" applyFont="1" applyFill="1" applyBorder="1" applyAlignment="1" applyProtection="1">
      <alignment horizontal="center"/>
      <protection hidden="1"/>
    </xf>
    <xf numFmtId="4" fontId="25" fillId="49" borderId="31" xfId="0" applyNumberFormat="1" applyFont="1" applyFill="1" applyBorder="1" applyAlignment="1" applyProtection="1">
      <alignment horizontal="center"/>
      <protection hidden="1"/>
    </xf>
    <xf numFmtId="39" fontId="25" fillId="49" borderId="29" xfId="60" applyNumberFormat="1" applyFont="1" applyFill="1" applyBorder="1" applyAlignment="1" applyProtection="1">
      <alignment horizontal="center"/>
      <protection hidden="1"/>
    </xf>
    <xf numFmtId="39" fontId="25" fillId="49" borderId="27" xfId="60" applyNumberFormat="1" applyFont="1" applyFill="1" applyBorder="1" applyAlignment="1" applyProtection="1">
      <alignment horizontal="center"/>
      <protection hidden="1"/>
    </xf>
    <xf numFmtId="39" fontId="25" fillId="49" borderId="32" xfId="60" applyNumberFormat="1" applyFont="1" applyFill="1" applyBorder="1" applyAlignment="1" applyProtection="1">
      <alignment horizontal="center"/>
      <protection hidden="1"/>
    </xf>
    <xf numFmtId="2" fontId="40" fillId="0" borderId="21" xfId="0" applyNumberFormat="1" applyFont="1" applyBorder="1" applyAlignment="1" applyProtection="1">
      <alignment horizontal="center" vertical="center" wrapText="1"/>
      <protection hidden="1"/>
    </xf>
    <xf numFmtId="2" fontId="40" fillId="0" borderId="33" xfId="0" applyNumberFormat="1" applyFont="1" applyBorder="1" applyAlignment="1" applyProtection="1">
      <alignment horizontal="center" vertical="center" wrapText="1"/>
      <protection hidden="1"/>
    </xf>
    <xf numFmtId="2" fontId="40" fillId="0" borderId="20" xfId="0" applyNumberFormat="1" applyFont="1" applyBorder="1" applyAlignment="1" applyProtection="1">
      <alignment horizontal="center" vertical="center" wrapText="1"/>
      <protection hidden="1"/>
    </xf>
    <xf numFmtId="0" fontId="25" fillId="0" borderId="26" xfId="0" applyFont="1" applyBorder="1" applyAlignment="1" applyProtection="1">
      <alignment horizontal="center" vertical="top" wrapText="1"/>
      <protection hidden="1"/>
    </xf>
    <xf numFmtId="0" fontId="25" fillId="0" borderId="0" xfId="0" applyFont="1" applyBorder="1" applyAlignment="1" applyProtection="1">
      <alignment horizontal="center" vertical="top" wrapText="1"/>
      <protection hidden="1"/>
    </xf>
    <xf numFmtId="0" fontId="25" fillId="0" borderId="25" xfId="0" applyFont="1" applyBorder="1" applyAlignment="1" applyProtection="1">
      <alignment horizontal="center" vertical="top" wrapText="1"/>
      <protection hidden="1"/>
    </xf>
    <xf numFmtId="217" fontId="25" fillId="49" borderId="29" xfId="0" applyNumberFormat="1" applyFont="1" applyFill="1" applyBorder="1" applyAlignment="1" applyProtection="1">
      <alignment horizontal="center" vertical="top"/>
      <protection hidden="1"/>
    </xf>
    <xf numFmtId="217" fontId="25" fillId="49" borderId="27" xfId="0" applyNumberFormat="1" applyFont="1" applyFill="1" applyBorder="1" applyAlignment="1" applyProtection="1">
      <alignment horizontal="center" vertical="top"/>
      <protection hidden="1"/>
    </xf>
    <xf numFmtId="217" fontId="25" fillId="49" borderId="32" xfId="0" applyNumberFormat="1" applyFont="1" applyFill="1" applyBorder="1" applyAlignment="1" applyProtection="1">
      <alignment horizontal="center" vertical="top"/>
      <protection hidden="1"/>
    </xf>
    <xf numFmtId="217" fontId="25" fillId="49" borderId="30" xfId="0" applyNumberFormat="1" applyFont="1" applyFill="1" applyBorder="1" applyAlignment="1" applyProtection="1">
      <alignment horizontal="center" vertical="top"/>
      <protection hidden="1"/>
    </xf>
    <xf numFmtId="217" fontId="25" fillId="49" borderId="28" xfId="0" applyNumberFormat="1" applyFont="1" applyFill="1" applyBorder="1" applyAlignment="1" applyProtection="1">
      <alignment horizontal="center" vertical="top"/>
      <protection hidden="1"/>
    </xf>
    <xf numFmtId="217" fontId="25" fillId="49" borderId="31" xfId="0" applyNumberFormat="1" applyFont="1" applyFill="1" applyBorder="1" applyAlignment="1" applyProtection="1">
      <alignment horizontal="center" vertical="top"/>
      <protection hidden="1"/>
    </xf>
    <xf numFmtId="4" fontId="25" fillId="4" borderId="19" xfId="0" applyNumberFormat="1" applyFont="1" applyFill="1" applyBorder="1" applyAlignment="1" applyProtection="1">
      <alignment/>
      <protection hidden="1"/>
    </xf>
    <xf numFmtId="0" fontId="25" fillId="2" borderId="22" xfId="0" applyFont="1" applyFill="1" applyBorder="1" applyAlignment="1" applyProtection="1">
      <alignment vertical="center"/>
      <protection hidden="1"/>
    </xf>
    <xf numFmtId="0" fontId="25" fillId="2" borderId="23" xfId="0" applyFont="1" applyFill="1" applyBorder="1" applyAlignment="1" applyProtection="1">
      <alignment vertical="center"/>
      <protection hidden="1"/>
    </xf>
    <xf numFmtId="0" fontId="37" fillId="49" borderId="22" xfId="0" applyFont="1" applyFill="1" applyBorder="1" applyAlignment="1" applyProtection="1">
      <alignment horizontal="center" vertical="center" wrapText="1"/>
      <protection hidden="1"/>
    </xf>
    <xf numFmtId="0" fontId="37" fillId="49" borderId="24" xfId="0" applyFont="1" applyFill="1" applyBorder="1" applyAlignment="1" applyProtection="1">
      <alignment horizontal="center" vertical="center" wrapText="1"/>
      <protection hidden="1"/>
    </xf>
    <xf numFmtId="0" fontId="37" fillId="49" borderId="23" xfId="0" applyFont="1" applyFill="1" applyBorder="1" applyAlignment="1" applyProtection="1">
      <alignment horizontal="center" vertical="center" wrapText="1"/>
      <protection hidden="1"/>
    </xf>
    <xf numFmtId="0" fontId="25" fillId="2" borderId="22" xfId="0" applyFont="1" applyFill="1" applyBorder="1" applyAlignment="1" applyProtection="1">
      <alignment/>
      <protection hidden="1"/>
    </xf>
    <xf numFmtId="0" fontId="25" fillId="2" borderId="23" xfId="0" applyFont="1" applyFill="1" applyBorder="1" applyAlignment="1" applyProtection="1">
      <alignment/>
      <protection hidden="1"/>
    </xf>
    <xf numFmtId="0" fontId="25" fillId="49" borderId="22" xfId="0" applyFont="1" applyFill="1" applyBorder="1" applyAlignment="1" applyProtection="1">
      <alignment horizontal="center" vertical="center"/>
      <protection locked="0"/>
    </xf>
    <xf numFmtId="0" fontId="25" fillId="49" borderId="24" xfId="0" applyFont="1" applyFill="1" applyBorder="1" applyAlignment="1" applyProtection="1">
      <alignment horizontal="center" vertical="center"/>
      <protection locked="0"/>
    </xf>
    <xf numFmtId="0" fontId="25" fillId="49" borderId="23" xfId="0" applyFont="1" applyFill="1" applyBorder="1" applyAlignment="1" applyProtection="1">
      <alignment horizontal="center" vertical="center"/>
      <protection locked="0"/>
    </xf>
    <xf numFmtId="0" fontId="39" fillId="49" borderId="22" xfId="0" applyFont="1" applyFill="1" applyBorder="1" applyAlignment="1" applyProtection="1">
      <alignment horizontal="center" vertical="center"/>
      <protection locked="0"/>
    </xf>
    <xf numFmtId="0" fontId="39" fillId="49" borderId="24" xfId="0" applyFont="1" applyFill="1" applyBorder="1" applyAlignment="1" applyProtection="1">
      <alignment horizontal="center" vertical="center"/>
      <protection locked="0"/>
    </xf>
    <xf numFmtId="0" fontId="39" fillId="49" borderId="23" xfId="0" applyFont="1" applyFill="1" applyBorder="1" applyAlignment="1" applyProtection="1">
      <alignment horizontal="center" vertical="center"/>
      <protection locked="0"/>
    </xf>
    <xf numFmtId="4" fontId="25" fillId="4" borderId="22" xfId="0" applyNumberFormat="1" applyFont="1" applyFill="1" applyBorder="1" applyAlignment="1" applyProtection="1">
      <alignment vertical="center"/>
      <protection hidden="1"/>
    </xf>
    <xf numFmtId="4" fontId="25" fillId="4" borderId="23" xfId="0" applyNumberFormat="1" applyFont="1" applyFill="1" applyBorder="1" applyAlignment="1" applyProtection="1">
      <alignment vertical="center"/>
      <protection hidden="1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25" fillId="49" borderId="29" xfId="0" applyFont="1" applyFill="1" applyBorder="1" applyAlignment="1" applyProtection="1">
      <alignment horizontal="center" vertical="center" wrapText="1"/>
      <protection hidden="1"/>
    </xf>
    <xf numFmtId="0" fontId="25" fillId="49" borderId="27" xfId="0" applyFont="1" applyFill="1" applyBorder="1" applyAlignment="1" applyProtection="1">
      <alignment horizontal="center" vertical="center" wrapText="1"/>
      <protection hidden="1"/>
    </xf>
    <xf numFmtId="0" fontId="25" fillId="49" borderId="32" xfId="0" applyFont="1" applyFill="1" applyBorder="1" applyAlignment="1" applyProtection="1">
      <alignment horizontal="center" vertical="center" wrapText="1"/>
      <protection hidden="1"/>
    </xf>
    <xf numFmtId="0" fontId="25" fillId="49" borderId="30" xfId="0" applyFont="1" applyFill="1" applyBorder="1" applyAlignment="1" applyProtection="1">
      <alignment horizontal="center" vertical="center" wrapText="1"/>
      <protection hidden="1"/>
    </xf>
    <xf numFmtId="0" fontId="25" fillId="49" borderId="28" xfId="0" applyFont="1" applyFill="1" applyBorder="1" applyAlignment="1" applyProtection="1">
      <alignment horizontal="center" vertical="center" wrapText="1"/>
      <protection hidden="1"/>
    </xf>
    <xf numFmtId="0" fontId="25" fillId="49" borderId="31" xfId="0" applyFont="1" applyFill="1" applyBorder="1" applyAlignment="1" applyProtection="1">
      <alignment horizontal="center" vertical="center" wrapText="1"/>
      <protection hidden="1"/>
    </xf>
    <xf numFmtId="2" fontId="52" fillId="0" borderId="32" xfId="0" applyNumberFormat="1" applyFont="1" applyBorder="1" applyAlignment="1" applyProtection="1">
      <alignment horizontal="center" vertical="center"/>
      <protection hidden="1"/>
    </xf>
    <xf numFmtId="2" fontId="52" fillId="0" borderId="31" xfId="0" applyNumberFormat="1" applyFont="1" applyBorder="1" applyAlignment="1" applyProtection="1">
      <alignment horizontal="center" vertical="center"/>
      <protection hidden="1"/>
    </xf>
    <xf numFmtId="0" fontId="25" fillId="0" borderId="24" xfId="0" applyFont="1" applyBorder="1" applyAlignment="1" applyProtection="1">
      <alignment vertical="center" wrapText="1"/>
      <protection hidden="1"/>
    </xf>
    <xf numFmtId="0" fontId="25" fillId="0" borderId="23" xfId="0" applyFont="1" applyBorder="1" applyAlignment="1" applyProtection="1">
      <alignment vertical="center" wrapText="1"/>
      <protection hidden="1"/>
    </xf>
    <xf numFmtId="0" fontId="21" fillId="0" borderId="24" xfId="0" applyFont="1" applyBorder="1" applyAlignment="1" applyProtection="1">
      <alignment horizontal="center" vertical="center"/>
      <protection hidden="1"/>
    </xf>
    <xf numFmtId="0" fontId="21" fillId="0" borderId="23" xfId="0" applyFont="1" applyBorder="1" applyAlignment="1" applyProtection="1">
      <alignment horizontal="center" vertical="center"/>
      <protection hidden="1"/>
    </xf>
    <xf numFmtId="2" fontId="51" fillId="0" borderId="32" xfId="0" applyNumberFormat="1" applyFont="1" applyBorder="1" applyAlignment="1" applyProtection="1">
      <alignment horizontal="center" vertical="center"/>
      <protection hidden="1"/>
    </xf>
    <xf numFmtId="2" fontId="51" fillId="0" borderId="31" xfId="0" applyNumberFormat="1" applyFont="1" applyBorder="1" applyAlignment="1" applyProtection="1">
      <alignment horizontal="center" vertical="center"/>
      <protection hidden="1"/>
    </xf>
    <xf numFmtId="217" fontId="25" fillId="9" borderId="22" xfId="0" applyNumberFormat="1" applyFont="1" applyFill="1" applyBorder="1" applyAlignment="1" applyProtection="1">
      <alignment horizontal="center" vertical="center"/>
      <protection hidden="1"/>
    </xf>
    <xf numFmtId="217" fontId="25" fillId="9" borderId="23" xfId="0" applyNumberFormat="1" applyFont="1" applyFill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center" vertical="top" wrapText="1"/>
      <protection locked="0"/>
    </xf>
    <xf numFmtId="0" fontId="25" fillId="0" borderId="20" xfId="0" applyFont="1" applyBorder="1" applyAlignment="1" applyProtection="1">
      <alignment horizontal="center" vertical="top" wrapText="1"/>
      <protection locked="0"/>
    </xf>
    <xf numFmtId="0" fontId="3" fillId="49" borderId="22" xfId="0" applyFont="1" applyFill="1" applyBorder="1" applyAlignment="1" applyProtection="1">
      <alignment horizontal="left" vertical="top" wrapText="1"/>
      <protection hidden="1"/>
    </xf>
    <xf numFmtId="0" fontId="3" fillId="49" borderId="24" xfId="0" applyFont="1" applyFill="1" applyBorder="1" applyAlignment="1" applyProtection="1">
      <alignment horizontal="left" vertical="top" wrapText="1"/>
      <protection hidden="1"/>
    </xf>
    <xf numFmtId="0" fontId="3" fillId="49" borderId="23" xfId="0" applyFont="1" applyFill="1" applyBorder="1" applyAlignment="1" applyProtection="1">
      <alignment horizontal="left" vertical="top" wrapText="1"/>
      <protection hidden="1"/>
    </xf>
    <xf numFmtId="0" fontId="47" fillId="0" borderId="22" xfId="0" applyFont="1" applyBorder="1" applyAlignment="1" applyProtection="1">
      <alignment horizontal="center" vertical="center"/>
      <protection locked="0"/>
    </xf>
    <xf numFmtId="0" fontId="47" fillId="0" borderId="24" xfId="0" applyFont="1" applyBorder="1" applyAlignment="1" applyProtection="1">
      <alignment horizontal="center" vertical="center"/>
      <protection locked="0"/>
    </xf>
    <xf numFmtId="0" fontId="47" fillId="0" borderId="23" xfId="0" applyFont="1" applyBorder="1" applyAlignment="1" applyProtection="1">
      <alignment horizontal="center" vertical="center"/>
      <protection locked="0"/>
    </xf>
    <xf numFmtId="0" fontId="47" fillId="8" borderId="22" xfId="0" applyFont="1" applyFill="1" applyBorder="1" applyAlignment="1" applyProtection="1">
      <alignment horizontal="center" vertical="center"/>
      <protection hidden="1"/>
    </xf>
    <xf numFmtId="0" fontId="47" fillId="8" borderId="24" xfId="0" applyFont="1" applyFill="1" applyBorder="1" applyAlignment="1" applyProtection="1">
      <alignment horizontal="center" vertical="center"/>
      <protection hidden="1"/>
    </xf>
    <xf numFmtId="0" fontId="47" fillId="8" borderId="23" xfId="0" applyFont="1" applyFill="1" applyBorder="1" applyAlignment="1" applyProtection="1">
      <alignment horizontal="center" vertical="center"/>
      <protection hidden="1"/>
    </xf>
    <xf numFmtId="0" fontId="39" fillId="8" borderId="22" xfId="0" applyFont="1" applyFill="1" applyBorder="1" applyAlignment="1" applyProtection="1">
      <alignment horizontal="center" vertical="center"/>
      <protection hidden="1"/>
    </xf>
    <xf numFmtId="0" fontId="39" fillId="8" borderId="23" xfId="0" applyFont="1" applyFill="1" applyBorder="1" applyAlignment="1" applyProtection="1">
      <alignment horizontal="center" vertical="center"/>
      <protection hidden="1"/>
    </xf>
    <xf numFmtId="0" fontId="42" fillId="49" borderId="22" xfId="0" applyFont="1" applyFill="1" applyBorder="1" applyAlignment="1" applyProtection="1">
      <alignment horizontal="center" vertical="center"/>
      <protection hidden="1"/>
    </xf>
    <xf numFmtId="0" fontId="42" fillId="49" borderId="24" xfId="0" applyFont="1" applyFill="1" applyBorder="1" applyAlignment="1" applyProtection="1">
      <alignment horizontal="center" vertical="center"/>
      <protection hidden="1"/>
    </xf>
    <xf numFmtId="0" fontId="42" fillId="49" borderId="23" xfId="0" applyFont="1" applyFill="1" applyBorder="1" applyAlignment="1" applyProtection="1">
      <alignment horizontal="center" vertical="center"/>
      <protection hidden="1"/>
    </xf>
    <xf numFmtId="0" fontId="25" fillId="49" borderId="29" xfId="0" applyFont="1" applyFill="1" applyBorder="1" applyAlignment="1" applyProtection="1">
      <alignment horizontal="center" vertical="center"/>
      <protection locked="0"/>
    </xf>
    <xf numFmtId="0" fontId="25" fillId="49" borderId="27" xfId="0" applyFont="1" applyFill="1" applyBorder="1" applyAlignment="1" applyProtection="1">
      <alignment horizontal="center" vertical="center"/>
      <protection locked="0"/>
    </xf>
    <xf numFmtId="0" fontId="25" fillId="49" borderId="32" xfId="0" applyFont="1" applyFill="1" applyBorder="1" applyAlignment="1" applyProtection="1">
      <alignment horizontal="center" vertical="center"/>
      <protection locked="0"/>
    </xf>
    <xf numFmtId="0" fontId="25" fillId="49" borderId="30" xfId="0" applyFont="1" applyFill="1" applyBorder="1" applyAlignment="1" applyProtection="1">
      <alignment horizontal="center" vertical="center"/>
      <protection locked="0"/>
    </xf>
    <xf numFmtId="0" fontId="25" fillId="49" borderId="28" xfId="0" applyFont="1" applyFill="1" applyBorder="1" applyAlignment="1" applyProtection="1">
      <alignment horizontal="center" vertical="center"/>
      <protection locked="0"/>
    </xf>
    <xf numFmtId="0" fontId="25" fillId="49" borderId="31" xfId="0" applyFont="1" applyFill="1" applyBorder="1" applyAlignment="1" applyProtection="1">
      <alignment horizontal="center" vertical="center"/>
      <protection locked="0"/>
    </xf>
    <xf numFmtId="2" fontId="25" fillId="49" borderId="29" xfId="0" applyNumberFormat="1" applyFont="1" applyFill="1" applyBorder="1" applyAlignment="1" applyProtection="1">
      <alignment horizontal="center" vertical="center"/>
      <protection locked="0"/>
    </xf>
    <xf numFmtId="2" fontId="25" fillId="49" borderId="27" xfId="0" applyNumberFormat="1" applyFont="1" applyFill="1" applyBorder="1" applyAlignment="1" applyProtection="1">
      <alignment horizontal="center" vertical="center"/>
      <protection locked="0"/>
    </xf>
    <xf numFmtId="2" fontId="25" fillId="49" borderId="32" xfId="0" applyNumberFormat="1" applyFont="1" applyFill="1" applyBorder="1" applyAlignment="1" applyProtection="1">
      <alignment horizontal="center" vertical="center"/>
      <protection locked="0"/>
    </xf>
    <xf numFmtId="2" fontId="25" fillId="49" borderId="30" xfId="0" applyNumberFormat="1" applyFont="1" applyFill="1" applyBorder="1" applyAlignment="1" applyProtection="1">
      <alignment horizontal="center" vertical="center"/>
      <protection locked="0"/>
    </xf>
    <xf numFmtId="2" fontId="25" fillId="49" borderId="28" xfId="0" applyNumberFormat="1" applyFont="1" applyFill="1" applyBorder="1" applyAlignment="1" applyProtection="1">
      <alignment horizontal="center" vertical="center"/>
      <protection locked="0"/>
    </xf>
    <xf numFmtId="2" fontId="25" fillId="49" borderId="31" xfId="0" applyNumberFormat="1" applyFont="1" applyFill="1" applyBorder="1" applyAlignment="1" applyProtection="1">
      <alignment horizontal="center" vertical="center"/>
      <protection locked="0"/>
    </xf>
    <xf numFmtId="2" fontId="50" fillId="49" borderId="21" xfId="0" applyNumberFormat="1" applyFont="1" applyFill="1" applyBorder="1" applyAlignment="1" applyProtection="1">
      <alignment horizontal="center" vertical="center"/>
      <protection locked="0"/>
    </xf>
    <xf numFmtId="2" fontId="50" fillId="49" borderId="20" xfId="0" applyNumberFormat="1" applyFont="1" applyFill="1" applyBorder="1" applyAlignment="1" applyProtection="1">
      <alignment horizontal="center" vertical="center"/>
      <protection locked="0"/>
    </xf>
    <xf numFmtId="1" fontId="47" fillId="49" borderId="29" xfId="0" applyNumberFormat="1" applyFont="1" applyFill="1" applyBorder="1" applyAlignment="1" applyProtection="1">
      <alignment horizontal="center" vertical="center"/>
      <protection locked="0"/>
    </xf>
    <xf numFmtId="1" fontId="47" fillId="49" borderId="27" xfId="0" applyNumberFormat="1" applyFont="1" applyFill="1" applyBorder="1" applyAlignment="1" applyProtection="1">
      <alignment horizontal="center" vertical="center"/>
      <protection locked="0"/>
    </xf>
    <xf numFmtId="1" fontId="47" fillId="49" borderId="32" xfId="0" applyNumberFormat="1" applyFont="1" applyFill="1" applyBorder="1" applyAlignment="1" applyProtection="1">
      <alignment horizontal="center" vertical="center"/>
      <protection locked="0"/>
    </xf>
    <xf numFmtId="1" fontId="47" fillId="49" borderId="30" xfId="0" applyNumberFormat="1" applyFont="1" applyFill="1" applyBorder="1" applyAlignment="1" applyProtection="1">
      <alignment horizontal="center" vertical="center"/>
      <protection locked="0"/>
    </xf>
    <xf numFmtId="1" fontId="47" fillId="49" borderId="28" xfId="0" applyNumberFormat="1" applyFont="1" applyFill="1" applyBorder="1" applyAlignment="1" applyProtection="1">
      <alignment horizontal="center" vertical="center"/>
      <protection locked="0"/>
    </xf>
    <xf numFmtId="1" fontId="47" fillId="49" borderId="31" xfId="0" applyNumberFormat="1" applyFont="1" applyFill="1" applyBorder="1" applyAlignment="1" applyProtection="1">
      <alignment horizontal="center" vertical="center"/>
      <protection locked="0"/>
    </xf>
    <xf numFmtId="1" fontId="39" fillId="49" borderId="22" xfId="0" applyNumberFormat="1" applyFont="1" applyFill="1" applyBorder="1" applyAlignment="1" applyProtection="1">
      <alignment horizontal="center" vertical="center"/>
      <protection locked="0"/>
    </xf>
    <xf numFmtId="1" fontId="39" fillId="49" borderId="24" xfId="0" applyNumberFormat="1" applyFont="1" applyFill="1" applyBorder="1" applyAlignment="1" applyProtection="1">
      <alignment horizontal="center" vertical="center"/>
      <protection locked="0"/>
    </xf>
    <xf numFmtId="1" fontId="39" fillId="49" borderId="23" xfId="0" applyNumberFormat="1" applyFont="1" applyFill="1" applyBorder="1" applyAlignment="1" applyProtection="1">
      <alignment horizontal="center" vertical="center"/>
      <protection locked="0"/>
    </xf>
    <xf numFmtId="2" fontId="38" fillId="5" borderId="22" xfId="0" applyNumberFormat="1" applyFont="1" applyFill="1" applyBorder="1" applyAlignment="1" applyProtection="1">
      <alignment horizontal="center" vertical="center"/>
      <protection hidden="1"/>
    </xf>
    <xf numFmtId="2" fontId="38" fillId="5" borderId="24" xfId="0" applyNumberFormat="1" applyFont="1" applyFill="1" applyBorder="1" applyAlignment="1" applyProtection="1">
      <alignment horizontal="center" vertical="center"/>
      <protection hidden="1"/>
    </xf>
    <xf numFmtId="2" fontId="38" fillId="5" borderId="23" xfId="0" applyNumberFormat="1" applyFont="1" applyFill="1" applyBorder="1" applyAlignment="1" applyProtection="1">
      <alignment horizontal="center" vertical="center"/>
      <protection hidden="1"/>
    </xf>
    <xf numFmtId="0" fontId="0" fillId="41" borderId="22" xfId="0" applyFill="1" applyBorder="1" applyAlignment="1" applyProtection="1">
      <alignment horizontal="center" vertical="center"/>
      <protection hidden="1"/>
    </xf>
    <xf numFmtId="0" fontId="0" fillId="41" borderId="24" xfId="0" applyFill="1" applyBorder="1" applyAlignment="1" applyProtection="1">
      <alignment horizontal="center" vertical="center"/>
      <protection hidden="1"/>
    </xf>
    <xf numFmtId="0" fontId="0" fillId="41" borderId="23" xfId="0" applyFill="1" applyBorder="1" applyAlignment="1" applyProtection="1">
      <alignment horizontal="center" vertical="center"/>
      <protection hidden="1"/>
    </xf>
    <xf numFmtId="0" fontId="23" fillId="16" borderId="22" xfId="81" applyFont="1" applyFill="1" applyBorder="1" applyAlignment="1" applyProtection="1">
      <alignment horizontal="center" vertical="center"/>
      <protection hidden="1"/>
    </xf>
    <xf numFmtId="0" fontId="23" fillId="16" borderId="24" xfId="81" applyFont="1" applyFill="1" applyBorder="1" applyAlignment="1" applyProtection="1">
      <alignment horizontal="center" vertical="center"/>
      <protection hidden="1"/>
    </xf>
    <xf numFmtId="0" fontId="23" fillId="16" borderId="23" xfId="81" applyFont="1" applyFill="1" applyBorder="1" applyAlignment="1" applyProtection="1">
      <alignment horizontal="center" vertical="center"/>
      <protection hidden="1"/>
    </xf>
    <xf numFmtId="2" fontId="0" fillId="41" borderId="22" xfId="0" applyNumberFormat="1" applyFill="1" applyBorder="1" applyAlignment="1" applyProtection="1">
      <alignment horizontal="center" vertical="center"/>
      <protection hidden="1"/>
    </xf>
    <xf numFmtId="0" fontId="0" fillId="4" borderId="22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2" fontId="38" fillId="9" borderId="22" xfId="0" applyNumberFormat="1" applyFont="1" applyFill="1" applyBorder="1" applyAlignment="1" applyProtection="1">
      <alignment horizontal="center" vertical="center"/>
      <protection hidden="1"/>
    </xf>
    <xf numFmtId="2" fontId="38" fillId="9" borderId="24" xfId="0" applyNumberFormat="1" applyFont="1" applyFill="1" applyBorder="1" applyAlignment="1" applyProtection="1">
      <alignment horizontal="center" vertical="center"/>
      <protection hidden="1"/>
    </xf>
    <xf numFmtId="2" fontId="38" fillId="9" borderId="23" xfId="0" applyNumberFormat="1" applyFont="1" applyFill="1" applyBorder="1" applyAlignment="1" applyProtection="1">
      <alignment horizontal="center" vertical="center"/>
      <protection hidden="1"/>
    </xf>
    <xf numFmtId="0" fontId="0" fillId="18" borderId="22" xfId="0" applyFill="1" applyBorder="1" applyAlignment="1" applyProtection="1">
      <alignment horizontal="center" vertical="center"/>
      <protection hidden="1"/>
    </xf>
    <xf numFmtId="0" fontId="0" fillId="18" borderId="24" xfId="0" applyFill="1" applyBorder="1" applyAlignment="1" applyProtection="1">
      <alignment horizontal="center" vertical="center"/>
      <protection hidden="1"/>
    </xf>
    <xf numFmtId="0" fontId="0" fillId="18" borderId="23" xfId="0" applyFill="1" applyBorder="1" applyAlignment="1" applyProtection="1">
      <alignment horizontal="center" vertical="center"/>
      <protection hidden="1"/>
    </xf>
    <xf numFmtId="2" fontId="38" fillId="8" borderId="22" xfId="0" applyNumberFormat="1" applyFont="1" applyFill="1" applyBorder="1" applyAlignment="1" applyProtection="1">
      <alignment horizontal="center" vertical="center"/>
      <protection hidden="1"/>
    </xf>
    <xf numFmtId="2" fontId="38" fillId="8" borderId="24" xfId="0" applyNumberFormat="1" applyFont="1" applyFill="1" applyBorder="1" applyAlignment="1" applyProtection="1">
      <alignment horizontal="center" vertical="center"/>
      <protection hidden="1"/>
    </xf>
    <xf numFmtId="2" fontId="38" fillId="8" borderId="23" xfId="0" applyNumberFormat="1" applyFont="1" applyFill="1" applyBorder="1" applyAlignment="1" applyProtection="1">
      <alignment horizontal="center" vertical="center"/>
      <protection hidden="1"/>
    </xf>
    <xf numFmtId="0" fontId="58" fillId="0" borderId="19" xfId="0" applyFont="1" applyBorder="1" applyAlignment="1" applyProtection="1">
      <alignment horizontal="center" vertical="center"/>
      <protection hidden="1"/>
    </xf>
    <xf numFmtId="0" fontId="57" fillId="0" borderId="19" xfId="0" applyFont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0" fontId="58" fillId="0" borderId="19" xfId="0" applyFont="1" applyBorder="1" applyAlignment="1" applyProtection="1">
      <alignment horizontal="center" vertical="center" wrapText="1"/>
      <protection hidden="1"/>
    </xf>
    <xf numFmtId="0" fontId="57" fillId="0" borderId="19" xfId="0" applyFont="1" applyBorder="1" applyAlignment="1" applyProtection="1">
      <alignment horizontal="center" vertical="center" wrapText="1"/>
      <protection hidden="1"/>
    </xf>
    <xf numFmtId="0" fontId="25" fillId="0" borderId="19" xfId="0" applyFont="1" applyBorder="1" applyAlignment="1" applyProtection="1">
      <alignment horizontal="center" vertical="center" wrapText="1"/>
      <protection hidden="1"/>
    </xf>
    <xf numFmtId="0" fontId="58" fillId="0" borderId="22" xfId="0" applyFont="1" applyBorder="1" applyAlignment="1" applyProtection="1">
      <alignment horizontal="left" vertical="center"/>
      <protection hidden="1"/>
    </xf>
    <xf numFmtId="0" fontId="58" fillId="0" borderId="24" xfId="0" applyFont="1" applyBorder="1" applyAlignment="1" applyProtection="1">
      <alignment horizontal="left" vertical="center"/>
      <protection hidden="1"/>
    </xf>
    <xf numFmtId="0" fontId="58" fillId="0" borderId="23" xfId="0" applyFont="1" applyBorder="1" applyAlignment="1" applyProtection="1">
      <alignment horizontal="left" vertical="center"/>
      <protection hidden="1"/>
    </xf>
    <xf numFmtId="0" fontId="57" fillId="0" borderId="22" xfId="0" applyFont="1" applyBorder="1" applyAlignment="1" applyProtection="1">
      <alignment horizontal="left" vertical="center"/>
      <protection hidden="1"/>
    </xf>
    <xf numFmtId="0" fontId="57" fillId="0" borderId="24" xfId="0" applyFont="1" applyBorder="1" applyAlignment="1" applyProtection="1">
      <alignment/>
      <protection hidden="1"/>
    </xf>
    <xf numFmtId="0" fontId="57" fillId="0" borderId="23" xfId="0" applyFont="1" applyBorder="1" applyAlignment="1" applyProtection="1">
      <alignment/>
      <protection hidden="1"/>
    </xf>
    <xf numFmtId="0" fontId="57" fillId="0" borderId="24" xfId="0" applyFont="1" applyBorder="1" applyAlignment="1" applyProtection="1">
      <alignment horizontal="left" vertical="center"/>
      <protection hidden="1"/>
    </xf>
    <xf numFmtId="0" fontId="57" fillId="0" borderId="23" xfId="0" applyFont="1" applyBorder="1" applyAlignment="1" applyProtection="1">
      <alignment horizontal="left" vertical="center"/>
      <protection hidden="1"/>
    </xf>
    <xf numFmtId="0" fontId="58" fillId="0" borderId="24" xfId="0" applyFont="1" applyBorder="1" applyAlignment="1" applyProtection="1">
      <alignment/>
      <protection hidden="1"/>
    </xf>
    <xf numFmtId="0" fontId="58" fillId="0" borderId="23" xfId="0" applyFont="1" applyBorder="1" applyAlignment="1" applyProtection="1">
      <alignment/>
      <protection hidden="1"/>
    </xf>
    <xf numFmtId="0" fontId="25" fillId="0" borderId="22" xfId="0" applyFont="1" applyBorder="1" applyAlignment="1" applyProtection="1">
      <alignment horizontal="left" vertical="center"/>
      <protection hidden="1"/>
    </xf>
    <xf numFmtId="0" fontId="25" fillId="0" borderId="24" xfId="0" applyFont="1" applyBorder="1" applyAlignment="1" applyProtection="1">
      <alignment/>
      <protection hidden="1"/>
    </xf>
    <xf numFmtId="0" fontId="25" fillId="0" borderId="23" xfId="0" applyFont="1" applyBorder="1" applyAlignment="1" applyProtection="1">
      <alignment/>
      <protection hidden="1"/>
    </xf>
    <xf numFmtId="0" fontId="25" fillId="0" borderId="24" xfId="0" applyFont="1" applyBorder="1" applyAlignment="1" applyProtection="1">
      <alignment horizontal="left" vertical="center"/>
      <protection hidden="1"/>
    </xf>
    <xf numFmtId="0" fontId="25" fillId="0" borderId="23" xfId="0" applyFont="1" applyBorder="1" applyAlignment="1" applyProtection="1">
      <alignment horizontal="left" vertical="center"/>
      <protection hidden="1"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10" xfId="75"/>
    <cellStyle name="Normal 11" xfId="76"/>
    <cellStyle name="Normal 12" xfId="77"/>
    <cellStyle name="Normal 13" xfId="78"/>
    <cellStyle name="Normal 14" xfId="79"/>
    <cellStyle name="Normal 2" xfId="80"/>
    <cellStyle name="Normal 3" xfId="81"/>
    <cellStyle name="Normal 4" xfId="82"/>
    <cellStyle name="Normal 5" xfId="83"/>
    <cellStyle name="Normal 6" xfId="84"/>
    <cellStyle name="Normal 7" xfId="85"/>
    <cellStyle name="Normal 8" xfId="86"/>
    <cellStyle name="Normal 9" xfId="87"/>
    <cellStyle name="Note" xfId="88"/>
    <cellStyle name="Output" xfId="89"/>
    <cellStyle name="Percent" xfId="90"/>
    <cellStyle name="Title" xfId="91"/>
    <cellStyle name="Total" xfId="92"/>
    <cellStyle name="Warning Text" xfId="93"/>
    <cellStyle name="การคำนวณ" xfId="94"/>
    <cellStyle name="ข้อความเตือน" xfId="95"/>
    <cellStyle name="ข้อความอธิบาย" xfId="96"/>
    <cellStyle name="ชื่อเรื่อง" xfId="97"/>
    <cellStyle name="เซลล์ตรวจสอบ" xfId="98"/>
    <cellStyle name="เซลล์ที่มีการเชื่อมโยง" xfId="99"/>
    <cellStyle name="ดี" xfId="100"/>
    <cellStyle name="ป้อนค่า" xfId="101"/>
    <cellStyle name="ปานกลาง" xfId="102"/>
    <cellStyle name="ผลรวม" xfId="103"/>
    <cellStyle name="แย่" xfId="104"/>
    <cellStyle name="ส่วนที่ถูกเน้น1" xfId="105"/>
    <cellStyle name="ส่วนที่ถูกเน้น2" xfId="106"/>
    <cellStyle name="ส่วนที่ถูกเน้น3" xfId="107"/>
    <cellStyle name="ส่วนที่ถูกเน้น4" xfId="108"/>
    <cellStyle name="ส่วนที่ถูกเน้น5" xfId="109"/>
    <cellStyle name="ส่วนที่ถูกเน้น6" xfId="110"/>
    <cellStyle name="แสดงผล" xfId="111"/>
    <cellStyle name="หมายเหตุ" xfId="112"/>
    <cellStyle name="หมายเหตุ 10" xfId="113"/>
    <cellStyle name="หมายเหตุ 11" xfId="114"/>
    <cellStyle name="หมายเหตุ 12" xfId="115"/>
    <cellStyle name="หมายเหตุ 2" xfId="116"/>
    <cellStyle name="หมายเหตุ 3" xfId="117"/>
    <cellStyle name="หมายเหตุ 4" xfId="118"/>
    <cellStyle name="หมายเหตุ 5" xfId="119"/>
    <cellStyle name="หมายเหตุ 6" xfId="120"/>
    <cellStyle name="หมายเหตุ 7" xfId="121"/>
    <cellStyle name="หมายเหตุ 8" xfId="122"/>
    <cellStyle name="หมายเหตุ 9" xfId="123"/>
    <cellStyle name="หัวเรื่อง 1" xfId="124"/>
    <cellStyle name="หัวเรื่อง 2" xfId="125"/>
    <cellStyle name="หัวเรื่อง 3" xfId="126"/>
    <cellStyle name="หัวเรื่อง 4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49</xdr:row>
      <xdr:rowOff>209550</xdr:rowOff>
    </xdr:from>
    <xdr:to>
      <xdr:col>23</xdr:col>
      <xdr:colOff>333375</xdr:colOff>
      <xdr:row>52</xdr:row>
      <xdr:rowOff>57150</xdr:rowOff>
    </xdr:to>
    <xdr:sp>
      <xdr:nvSpPr>
        <xdr:cNvPr id="1" name="Rectangular Callout 1"/>
        <xdr:cNvSpPr>
          <a:spLocks/>
        </xdr:cNvSpPr>
      </xdr:nvSpPr>
      <xdr:spPr>
        <a:xfrm>
          <a:off x="12049125" y="17821275"/>
          <a:ext cx="2495550" cy="990600"/>
        </a:xfrm>
        <a:prstGeom prst="wedgeRectCallout">
          <a:avLst>
            <a:gd name="adj1" fmla="val -88138"/>
            <a:gd name="adj2" fmla="val 14022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ตัวบ่งชี้ที่ </a:t>
          </a:r>
          <a:r>
            <a:rPr lang="en-US" cap="none" sz="1800" b="1" i="0" u="none" baseline="0">
              <a:solidFill>
                <a:srgbClr val="0000FF"/>
              </a:solidFill>
            </a:rPr>
            <a:t>4.3</a:t>
          </a:r>
          <a:r>
            <a:rPr lang="en-US" cap="none" sz="1800" b="1" i="0" u="none" baseline="0">
              <a:solidFill>
                <a:srgbClr val="FF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ให้ระบุในช่อง </a:t>
          </a:r>
          <a:r>
            <a:rPr lang="en-US" cap="none" sz="1600" b="1" i="0" u="none" baseline="0">
              <a:solidFill>
                <a:srgbClr val="800080"/>
              </a:solidFill>
            </a:rPr>
            <a:t>X45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ด้วยว่าเป็นการป้อนข้อมูลใน</a:t>
          </a:r>
          <a:r>
            <a:rPr lang="en-US" cap="none" sz="1800" b="1" i="0" u="none" baseline="0">
              <a:solidFill>
                <a:srgbClr val="FF0000"/>
              </a:solidFill>
            </a:rPr>
            <a:t>ระดับคณะวิชา</a:t>
          </a:r>
          <a:r>
            <a:rPr lang="en-US" cap="none" sz="1800" b="1" i="0" u="none" baseline="0">
              <a:solidFill>
                <a:srgbClr val="000000"/>
              </a:solidFill>
            </a:rPr>
            <a:t> หรือใน</a:t>
          </a:r>
          <a:r>
            <a:rPr lang="en-US" cap="none" sz="1800" b="1" i="0" u="none" baseline="0">
              <a:solidFill>
                <a:srgbClr val="FF0000"/>
              </a:solidFill>
            </a:rPr>
            <a:t>ระดับสถาบัน</a:t>
          </a:r>
        </a:p>
      </xdr:txBody>
    </xdr:sp>
    <xdr:clientData/>
  </xdr:twoCellAnchor>
  <xdr:twoCellAnchor>
    <xdr:from>
      <xdr:col>15</xdr:col>
      <xdr:colOff>19050</xdr:colOff>
      <xdr:row>2</xdr:row>
      <xdr:rowOff>66675</xdr:rowOff>
    </xdr:from>
    <xdr:to>
      <xdr:col>15</xdr:col>
      <xdr:colOff>76200</xdr:colOff>
      <xdr:row>3</xdr:row>
      <xdr:rowOff>247650</xdr:rowOff>
    </xdr:to>
    <xdr:sp>
      <xdr:nvSpPr>
        <xdr:cNvPr id="2" name="Left Brace 2"/>
        <xdr:cNvSpPr>
          <a:spLocks/>
        </xdr:cNvSpPr>
      </xdr:nvSpPr>
      <xdr:spPr>
        <a:xfrm>
          <a:off x="9420225" y="742950"/>
          <a:ext cx="57150" cy="504825"/>
        </a:xfrm>
        <a:prstGeom prst="leftBrace">
          <a:avLst>
            <a:gd name="adj" fmla="val -4912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342900</xdr:colOff>
      <xdr:row>2</xdr:row>
      <xdr:rowOff>57150</xdr:rowOff>
    </xdr:from>
    <xdr:to>
      <xdr:col>17</xdr:col>
      <xdr:colOff>361950</xdr:colOff>
      <xdr:row>3</xdr:row>
      <xdr:rowOff>228600</xdr:rowOff>
    </xdr:to>
    <xdr:sp>
      <xdr:nvSpPr>
        <xdr:cNvPr id="3" name="Right Brace 3"/>
        <xdr:cNvSpPr>
          <a:spLocks/>
        </xdr:cNvSpPr>
      </xdr:nvSpPr>
      <xdr:spPr>
        <a:xfrm>
          <a:off x="10506075" y="733425"/>
          <a:ext cx="19050" cy="4953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23</xdr:col>
      <xdr:colOff>0</xdr:colOff>
      <xdr:row>44</xdr:row>
      <xdr:rowOff>247650</xdr:rowOff>
    </xdr:from>
    <xdr:to>
      <xdr:col>23</xdr:col>
      <xdr:colOff>266700</xdr:colOff>
      <xdr:row>49</xdr:row>
      <xdr:rowOff>304800</xdr:rowOff>
    </xdr:to>
    <xdr:sp>
      <xdr:nvSpPr>
        <xdr:cNvPr id="4" name="Straight Arrow Connector 4"/>
        <xdr:cNvSpPr>
          <a:spLocks/>
        </xdr:cNvSpPr>
      </xdr:nvSpPr>
      <xdr:spPr>
        <a:xfrm flipV="1">
          <a:off x="14211300" y="16144875"/>
          <a:ext cx="266700" cy="17716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276225</xdr:rowOff>
    </xdr:from>
    <xdr:to>
      <xdr:col>5</xdr:col>
      <xdr:colOff>123825</xdr:colOff>
      <xdr:row>6</xdr:row>
      <xdr:rowOff>142875</xdr:rowOff>
    </xdr:to>
    <xdr:sp>
      <xdr:nvSpPr>
        <xdr:cNvPr id="1" name="Left Bracket 1"/>
        <xdr:cNvSpPr>
          <a:spLocks/>
        </xdr:cNvSpPr>
      </xdr:nvSpPr>
      <xdr:spPr>
        <a:xfrm>
          <a:off x="4286250" y="600075"/>
          <a:ext cx="47625" cy="762000"/>
        </a:xfrm>
        <a:prstGeom prst="leftBracket">
          <a:avLst>
            <a:gd name="adj" fmla="val -49495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2200275</xdr:colOff>
      <xdr:row>2</xdr:row>
      <xdr:rowOff>0</xdr:rowOff>
    </xdr:from>
    <xdr:to>
      <xdr:col>5</xdr:col>
      <xdr:colOff>2247900</xdr:colOff>
      <xdr:row>6</xdr:row>
      <xdr:rowOff>152400</xdr:rowOff>
    </xdr:to>
    <xdr:sp>
      <xdr:nvSpPr>
        <xdr:cNvPr id="2" name="Right Bracket 2"/>
        <xdr:cNvSpPr>
          <a:spLocks/>
        </xdr:cNvSpPr>
      </xdr:nvSpPr>
      <xdr:spPr>
        <a:xfrm>
          <a:off x="6410325" y="609600"/>
          <a:ext cx="47625" cy="762000"/>
        </a:xfrm>
        <a:prstGeom prst="rightBracket">
          <a:avLst>
            <a:gd name="adj" fmla="val -49495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276225</xdr:rowOff>
    </xdr:from>
    <xdr:to>
      <xdr:col>5</xdr:col>
      <xdr:colOff>123825</xdr:colOff>
      <xdr:row>24</xdr:row>
      <xdr:rowOff>142875</xdr:rowOff>
    </xdr:to>
    <xdr:sp>
      <xdr:nvSpPr>
        <xdr:cNvPr id="3" name="Left Bracket 3"/>
        <xdr:cNvSpPr>
          <a:spLocks/>
        </xdr:cNvSpPr>
      </xdr:nvSpPr>
      <xdr:spPr>
        <a:xfrm>
          <a:off x="4286250" y="5972175"/>
          <a:ext cx="47625" cy="762000"/>
        </a:xfrm>
        <a:prstGeom prst="leftBracket">
          <a:avLst>
            <a:gd name="adj" fmla="val -49495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2219325</xdr:colOff>
      <xdr:row>20</xdr:row>
      <xdr:rowOff>9525</xdr:rowOff>
    </xdr:from>
    <xdr:to>
      <xdr:col>5</xdr:col>
      <xdr:colOff>2257425</xdr:colOff>
      <xdr:row>24</xdr:row>
      <xdr:rowOff>142875</xdr:rowOff>
    </xdr:to>
    <xdr:sp>
      <xdr:nvSpPr>
        <xdr:cNvPr id="4" name="Right Bracket 4"/>
        <xdr:cNvSpPr>
          <a:spLocks/>
        </xdr:cNvSpPr>
      </xdr:nvSpPr>
      <xdr:spPr>
        <a:xfrm>
          <a:off x="6429375" y="5991225"/>
          <a:ext cx="38100" cy="742950"/>
        </a:xfrm>
        <a:prstGeom prst="rightBracket">
          <a:avLst>
            <a:gd name="adj" fmla="val -49601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37</xdr:row>
      <xdr:rowOff>276225</xdr:rowOff>
    </xdr:from>
    <xdr:to>
      <xdr:col>5</xdr:col>
      <xdr:colOff>123825</xdr:colOff>
      <xdr:row>42</xdr:row>
      <xdr:rowOff>142875</xdr:rowOff>
    </xdr:to>
    <xdr:sp>
      <xdr:nvSpPr>
        <xdr:cNvPr id="5" name="Left Bracket 5"/>
        <xdr:cNvSpPr>
          <a:spLocks/>
        </xdr:cNvSpPr>
      </xdr:nvSpPr>
      <xdr:spPr>
        <a:xfrm>
          <a:off x="4286250" y="11344275"/>
          <a:ext cx="47625" cy="762000"/>
        </a:xfrm>
        <a:prstGeom prst="leftBracket">
          <a:avLst>
            <a:gd name="adj" fmla="val -49495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2209800</xdr:colOff>
      <xdr:row>38</xdr:row>
      <xdr:rowOff>28575</xdr:rowOff>
    </xdr:from>
    <xdr:to>
      <xdr:col>5</xdr:col>
      <xdr:colOff>2257425</xdr:colOff>
      <xdr:row>42</xdr:row>
      <xdr:rowOff>142875</xdr:rowOff>
    </xdr:to>
    <xdr:sp>
      <xdr:nvSpPr>
        <xdr:cNvPr id="6" name="Right Bracket 6"/>
        <xdr:cNvSpPr>
          <a:spLocks/>
        </xdr:cNvSpPr>
      </xdr:nvSpPr>
      <xdr:spPr>
        <a:xfrm>
          <a:off x="6419850" y="11382375"/>
          <a:ext cx="47625" cy="723900"/>
        </a:xfrm>
        <a:prstGeom prst="rightBracket">
          <a:avLst>
            <a:gd name="adj" fmla="val -49467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3</xdr:row>
      <xdr:rowOff>85725</xdr:rowOff>
    </xdr:from>
    <xdr:to>
      <xdr:col>5</xdr:col>
      <xdr:colOff>942975</xdr:colOff>
      <xdr:row>7</xdr:row>
      <xdr:rowOff>238125</xdr:rowOff>
    </xdr:to>
    <xdr:sp>
      <xdr:nvSpPr>
        <xdr:cNvPr id="1" name="Left Bracket 1"/>
        <xdr:cNvSpPr>
          <a:spLocks/>
        </xdr:cNvSpPr>
      </xdr:nvSpPr>
      <xdr:spPr>
        <a:xfrm>
          <a:off x="5105400" y="971550"/>
          <a:ext cx="47625" cy="762000"/>
        </a:xfrm>
        <a:prstGeom prst="leftBracket">
          <a:avLst>
            <a:gd name="adj" fmla="val -49495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1123950</xdr:colOff>
      <xdr:row>3</xdr:row>
      <xdr:rowOff>95250</xdr:rowOff>
    </xdr:from>
    <xdr:to>
      <xdr:col>6</xdr:col>
      <xdr:colOff>1162050</xdr:colOff>
      <xdr:row>7</xdr:row>
      <xdr:rowOff>200025</xdr:rowOff>
    </xdr:to>
    <xdr:sp>
      <xdr:nvSpPr>
        <xdr:cNvPr id="2" name="Right Bracket 2"/>
        <xdr:cNvSpPr>
          <a:spLocks/>
        </xdr:cNvSpPr>
      </xdr:nvSpPr>
      <xdr:spPr>
        <a:xfrm>
          <a:off x="7781925" y="981075"/>
          <a:ext cx="38100" cy="714375"/>
        </a:xfrm>
        <a:prstGeom prst="rightBracket">
          <a:avLst>
            <a:gd name="adj" fmla="val -49462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16</xdr:row>
      <xdr:rowOff>0</xdr:rowOff>
    </xdr:from>
    <xdr:to>
      <xdr:col>5</xdr:col>
      <xdr:colOff>123825</xdr:colOff>
      <xdr:row>20</xdr:row>
      <xdr:rowOff>152400</xdr:rowOff>
    </xdr:to>
    <xdr:sp>
      <xdr:nvSpPr>
        <xdr:cNvPr id="3" name="Left Bracket 3"/>
        <xdr:cNvSpPr>
          <a:spLocks/>
        </xdr:cNvSpPr>
      </xdr:nvSpPr>
      <xdr:spPr>
        <a:xfrm>
          <a:off x="4286250" y="5133975"/>
          <a:ext cx="47625" cy="762000"/>
        </a:xfrm>
        <a:prstGeom prst="leftBracket">
          <a:avLst>
            <a:gd name="adj" fmla="val -49564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2276475</xdr:colOff>
      <xdr:row>16</xdr:row>
      <xdr:rowOff>38100</xdr:rowOff>
    </xdr:from>
    <xdr:to>
      <xdr:col>5</xdr:col>
      <xdr:colOff>2324100</xdr:colOff>
      <xdr:row>20</xdr:row>
      <xdr:rowOff>152400</xdr:rowOff>
    </xdr:to>
    <xdr:sp>
      <xdr:nvSpPr>
        <xdr:cNvPr id="4" name="Right Bracket 4"/>
        <xdr:cNvSpPr>
          <a:spLocks/>
        </xdr:cNvSpPr>
      </xdr:nvSpPr>
      <xdr:spPr>
        <a:xfrm>
          <a:off x="6486525" y="5172075"/>
          <a:ext cx="47625" cy="723900"/>
        </a:xfrm>
        <a:prstGeom prst="rightBracket">
          <a:avLst>
            <a:gd name="adj" fmla="val -49699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914400</xdr:colOff>
      <xdr:row>39</xdr:row>
      <xdr:rowOff>114300</xdr:rowOff>
    </xdr:from>
    <xdr:to>
      <xdr:col>5</xdr:col>
      <xdr:colOff>962025</xdr:colOff>
      <xdr:row>41</xdr:row>
      <xdr:rowOff>9525</xdr:rowOff>
    </xdr:to>
    <xdr:sp>
      <xdr:nvSpPr>
        <xdr:cNvPr id="5" name="Left Bracket 5"/>
        <xdr:cNvSpPr>
          <a:spLocks/>
        </xdr:cNvSpPr>
      </xdr:nvSpPr>
      <xdr:spPr>
        <a:xfrm>
          <a:off x="5124450" y="11553825"/>
          <a:ext cx="47625" cy="752475"/>
        </a:xfrm>
        <a:prstGeom prst="leftBracket">
          <a:avLst>
            <a:gd name="adj" fmla="val -49495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1104900</xdr:colOff>
      <xdr:row>39</xdr:row>
      <xdr:rowOff>95250</xdr:rowOff>
    </xdr:from>
    <xdr:to>
      <xdr:col>6</xdr:col>
      <xdr:colOff>1143000</xdr:colOff>
      <xdr:row>41</xdr:row>
      <xdr:rowOff>9525</xdr:rowOff>
    </xdr:to>
    <xdr:sp>
      <xdr:nvSpPr>
        <xdr:cNvPr id="6" name="Right Bracket 6"/>
        <xdr:cNvSpPr>
          <a:spLocks/>
        </xdr:cNvSpPr>
      </xdr:nvSpPr>
      <xdr:spPr>
        <a:xfrm>
          <a:off x="7762875" y="11534775"/>
          <a:ext cx="38100" cy="771525"/>
        </a:xfrm>
        <a:prstGeom prst="rightBracket">
          <a:avLst>
            <a:gd name="adj" fmla="val -49504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0</xdr:rowOff>
    </xdr:from>
    <xdr:to>
      <xdr:col>5</xdr:col>
      <xdr:colOff>123825</xdr:colOff>
      <xdr:row>6</xdr:row>
      <xdr:rowOff>152400</xdr:rowOff>
    </xdr:to>
    <xdr:sp>
      <xdr:nvSpPr>
        <xdr:cNvPr id="1" name="Left Bracket 1"/>
        <xdr:cNvSpPr>
          <a:spLocks/>
        </xdr:cNvSpPr>
      </xdr:nvSpPr>
      <xdr:spPr>
        <a:xfrm>
          <a:off x="4467225" y="666750"/>
          <a:ext cx="47625" cy="762000"/>
        </a:xfrm>
        <a:prstGeom prst="leftBracket">
          <a:avLst>
            <a:gd name="adj" fmla="val -49564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2276475</xdr:colOff>
      <xdr:row>2</xdr:row>
      <xdr:rowOff>19050</xdr:rowOff>
    </xdr:from>
    <xdr:to>
      <xdr:col>5</xdr:col>
      <xdr:colOff>2324100</xdr:colOff>
      <xdr:row>6</xdr:row>
      <xdr:rowOff>152400</xdr:rowOff>
    </xdr:to>
    <xdr:sp>
      <xdr:nvSpPr>
        <xdr:cNvPr id="2" name="Right Bracket 2"/>
        <xdr:cNvSpPr>
          <a:spLocks/>
        </xdr:cNvSpPr>
      </xdr:nvSpPr>
      <xdr:spPr>
        <a:xfrm>
          <a:off x="6667500" y="685800"/>
          <a:ext cx="47625" cy="742950"/>
        </a:xfrm>
        <a:prstGeom prst="rightBracket">
          <a:avLst>
            <a:gd name="adj" fmla="val -49703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14</xdr:row>
      <xdr:rowOff>285750</xdr:rowOff>
    </xdr:from>
    <xdr:to>
      <xdr:col>5</xdr:col>
      <xdr:colOff>123825</xdr:colOff>
      <xdr:row>19</xdr:row>
      <xdr:rowOff>152400</xdr:rowOff>
    </xdr:to>
    <xdr:sp>
      <xdr:nvSpPr>
        <xdr:cNvPr id="3" name="Left Bracket 3"/>
        <xdr:cNvSpPr>
          <a:spLocks/>
        </xdr:cNvSpPr>
      </xdr:nvSpPr>
      <xdr:spPr>
        <a:xfrm>
          <a:off x="4467225" y="5857875"/>
          <a:ext cx="47625" cy="762000"/>
        </a:xfrm>
        <a:prstGeom prst="leftBracket">
          <a:avLst>
            <a:gd name="adj" fmla="val -49564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2276475</xdr:colOff>
      <xdr:row>15</xdr:row>
      <xdr:rowOff>28575</xdr:rowOff>
    </xdr:from>
    <xdr:to>
      <xdr:col>5</xdr:col>
      <xdr:colOff>2324100</xdr:colOff>
      <xdr:row>19</xdr:row>
      <xdr:rowOff>152400</xdr:rowOff>
    </xdr:to>
    <xdr:sp>
      <xdr:nvSpPr>
        <xdr:cNvPr id="4" name="Right Bracket 4"/>
        <xdr:cNvSpPr>
          <a:spLocks/>
        </xdr:cNvSpPr>
      </xdr:nvSpPr>
      <xdr:spPr>
        <a:xfrm>
          <a:off x="6667500" y="5886450"/>
          <a:ext cx="47625" cy="733425"/>
        </a:xfrm>
        <a:prstGeom prst="rightBracket">
          <a:avLst>
            <a:gd name="adj" fmla="val -49703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28</xdr:row>
      <xdr:rowOff>0</xdr:rowOff>
    </xdr:from>
    <xdr:to>
      <xdr:col>5</xdr:col>
      <xdr:colOff>123825</xdr:colOff>
      <xdr:row>32</xdr:row>
      <xdr:rowOff>152400</xdr:rowOff>
    </xdr:to>
    <xdr:sp>
      <xdr:nvSpPr>
        <xdr:cNvPr id="5" name="Left Bracket 5"/>
        <xdr:cNvSpPr>
          <a:spLocks/>
        </xdr:cNvSpPr>
      </xdr:nvSpPr>
      <xdr:spPr>
        <a:xfrm>
          <a:off x="4467225" y="11049000"/>
          <a:ext cx="47625" cy="762000"/>
        </a:xfrm>
        <a:prstGeom prst="leftBracket">
          <a:avLst>
            <a:gd name="adj" fmla="val -49564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2276475</xdr:colOff>
      <xdr:row>28</xdr:row>
      <xdr:rowOff>19050</xdr:rowOff>
    </xdr:from>
    <xdr:to>
      <xdr:col>5</xdr:col>
      <xdr:colOff>2324100</xdr:colOff>
      <xdr:row>32</xdr:row>
      <xdr:rowOff>152400</xdr:rowOff>
    </xdr:to>
    <xdr:sp>
      <xdr:nvSpPr>
        <xdr:cNvPr id="6" name="Right Bracket 6"/>
        <xdr:cNvSpPr>
          <a:spLocks/>
        </xdr:cNvSpPr>
      </xdr:nvSpPr>
      <xdr:spPr>
        <a:xfrm>
          <a:off x="6667500" y="11068050"/>
          <a:ext cx="47625" cy="742950"/>
        </a:xfrm>
        <a:prstGeom prst="rightBracket">
          <a:avLst>
            <a:gd name="adj" fmla="val -49703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</xdr:row>
      <xdr:rowOff>0</xdr:rowOff>
    </xdr:from>
    <xdr:to>
      <xdr:col>5</xdr:col>
      <xdr:colOff>123825</xdr:colOff>
      <xdr:row>6</xdr:row>
      <xdr:rowOff>152400</xdr:rowOff>
    </xdr:to>
    <xdr:sp>
      <xdr:nvSpPr>
        <xdr:cNvPr id="1" name="Left Bracket 1"/>
        <xdr:cNvSpPr>
          <a:spLocks/>
        </xdr:cNvSpPr>
      </xdr:nvSpPr>
      <xdr:spPr>
        <a:xfrm>
          <a:off x="4676775" y="676275"/>
          <a:ext cx="47625" cy="762000"/>
        </a:xfrm>
        <a:prstGeom prst="leftBracket">
          <a:avLst>
            <a:gd name="adj" fmla="val -49564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2219325</xdr:colOff>
      <xdr:row>2</xdr:row>
      <xdr:rowOff>9525</xdr:rowOff>
    </xdr:from>
    <xdr:to>
      <xdr:col>5</xdr:col>
      <xdr:colOff>2266950</xdr:colOff>
      <xdr:row>7</xdr:row>
      <xdr:rowOff>0</xdr:rowOff>
    </xdr:to>
    <xdr:sp>
      <xdr:nvSpPr>
        <xdr:cNvPr id="2" name="Right Bracket 2"/>
        <xdr:cNvSpPr>
          <a:spLocks/>
        </xdr:cNvSpPr>
      </xdr:nvSpPr>
      <xdr:spPr>
        <a:xfrm>
          <a:off x="6819900" y="685800"/>
          <a:ext cx="47625" cy="752475"/>
        </a:xfrm>
        <a:prstGeom prst="rightBracket">
          <a:avLst>
            <a:gd name="adj" fmla="val -49490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23</xdr:row>
      <xdr:rowOff>0</xdr:rowOff>
    </xdr:from>
    <xdr:to>
      <xdr:col>5</xdr:col>
      <xdr:colOff>123825</xdr:colOff>
      <xdr:row>27</xdr:row>
      <xdr:rowOff>152400</xdr:rowOff>
    </xdr:to>
    <xdr:sp>
      <xdr:nvSpPr>
        <xdr:cNvPr id="3" name="Left Bracket 3"/>
        <xdr:cNvSpPr>
          <a:spLocks/>
        </xdr:cNvSpPr>
      </xdr:nvSpPr>
      <xdr:spPr>
        <a:xfrm>
          <a:off x="4676775" y="7124700"/>
          <a:ext cx="47625" cy="762000"/>
        </a:xfrm>
        <a:prstGeom prst="leftBracket">
          <a:avLst>
            <a:gd name="adj" fmla="val -49564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2219325</xdr:colOff>
      <xdr:row>23</xdr:row>
      <xdr:rowOff>9525</xdr:rowOff>
    </xdr:from>
    <xdr:to>
      <xdr:col>5</xdr:col>
      <xdr:colOff>2266950</xdr:colOff>
      <xdr:row>28</xdr:row>
      <xdr:rowOff>0</xdr:rowOff>
    </xdr:to>
    <xdr:sp>
      <xdr:nvSpPr>
        <xdr:cNvPr id="4" name="Right Bracket 4"/>
        <xdr:cNvSpPr>
          <a:spLocks/>
        </xdr:cNvSpPr>
      </xdr:nvSpPr>
      <xdr:spPr>
        <a:xfrm>
          <a:off x="6819900" y="7134225"/>
          <a:ext cx="47625" cy="752475"/>
        </a:xfrm>
        <a:prstGeom prst="rightBracket">
          <a:avLst>
            <a:gd name="adj" fmla="val -49486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76200</xdr:colOff>
      <xdr:row>44</xdr:row>
      <xdr:rowOff>0</xdr:rowOff>
    </xdr:from>
    <xdr:to>
      <xdr:col>5</xdr:col>
      <xdr:colOff>123825</xdr:colOff>
      <xdr:row>48</xdr:row>
      <xdr:rowOff>152400</xdr:rowOff>
    </xdr:to>
    <xdr:sp>
      <xdr:nvSpPr>
        <xdr:cNvPr id="5" name="Left Bracket 5"/>
        <xdr:cNvSpPr>
          <a:spLocks/>
        </xdr:cNvSpPr>
      </xdr:nvSpPr>
      <xdr:spPr>
        <a:xfrm>
          <a:off x="4676775" y="13573125"/>
          <a:ext cx="47625" cy="762000"/>
        </a:xfrm>
        <a:prstGeom prst="leftBracket">
          <a:avLst>
            <a:gd name="adj" fmla="val -49564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2219325</xdr:colOff>
      <xdr:row>44</xdr:row>
      <xdr:rowOff>38100</xdr:rowOff>
    </xdr:from>
    <xdr:to>
      <xdr:col>5</xdr:col>
      <xdr:colOff>2266950</xdr:colOff>
      <xdr:row>49</xdr:row>
      <xdr:rowOff>0</xdr:rowOff>
    </xdr:to>
    <xdr:sp>
      <xdr:nvSpPr>
        <xdr:cNvPr id="6" name="Right Bracket 6"/>
        <xdr:cNvSpPr>
          <a:spLocks/>
        </xdr:cNvSpPr>
      </xdr:nvSpPr>
      <xdr:spPr>
        <a:xfrm>
          <a:off x="6819900" y="13611225"/>
          <a:ext cx="47625" cy="723900"/>
        </a:xfrm>
        <a:prstGeom prst="rightBracket">
          <a:avLst>
            <a:gd name="adj" fmla="val -49472"/>
          </a:avLst>
        </a:prstGeom>
        <a:noFill/>
        <a:ln w="19050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4"/>
  <sheetViews>
    <sheetView tabSelected="1" zoomScale="85" zoomScaleNormal="85" zoomScalePageLayoutView="0" workbookViewId="0" topLeftCell="A1">
      <pane xSplit="1" ySplit="4" topLeftCell="E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0" sqref="E50:M50"/>
    </sheetView>
  </sheetViews>
  <sheetFormatPr defaultColWidth="9.00390625" defaultRowHeight="14.25"/>
  <cols>
    <col min="1" max="1" width="17.00390625" style="30" customWidth="1"/>
    <col min="2" max="2" width="4.75390625" style="30" customWidth="1"/>
    <col min="3" max="3" width="5.25390625" style="30" customWidth="1"/>
    <col min="4" max="4" width="5.625" style="30" customWidth="1"/>
    <col min="5" max="9" width="3.875" style="30" customWidth="1"/>
    <col min="10" max="10" width="4.125" style="30" customWidth="1"/>
    <col min="11" max="13" width="3.875" style="30" customWidth="1"/>
    <col min="14" max="14" width="16.75390625" style="30" customWidth="1"/>
    <col min="15" max="15" width="38.875" style="30" customWidth="1"/>
    <col min="16" max="16" width="5.75390625" style="30" customWidth="1"/>
    <col min="17" max="17" width="4.25390625" style="30" customWidth="1"/>
    <col min="18" max="18" width="5.75390625" style="30" customWidth="1"/>
    <col min="19" max="19" width="7.625" style="30" customWidth="1"/>
    <col min="20" max="20" width="8.875" style="30" customWidth="1"/>
    <col min="21" max="21" width="11.625" style="30" customWidth="1"/>
    <col min="22" max="22" width="11.375" style="30" customWidth="1"/>
    <col min="23" max="23" width="7.875" style="30" customWidth="1"/>
    <col min="24" max="24" width="6.625" style="30" customWidth="1"/>
    <col min="25" max="25" width="15.625" style="30" customWidth="1"/>
    <col min="26" max="26" width="6.625" style="30" customWidth="1"/>
    <col min="27" max="27" width="7.875" style="30" customWidth="1"/>
    <col min="28" max="28" width="6.625" style="30" customWidth="1"/>
    <col min="29" max="29" width="15.625" style="30" customWidth="1"/>
    <col min="30" max="30" width="6.625" style="30" customWidth="1"/>
    <col min="31" max="31" width="7.875" style="30" customWidth="1"/>
    <col min="32" max="32" width="6.625" style="30" customWidth="1"/>
    <col min="33" max="33" width="15.625" style="30" customWidth="1"/>
    <col min="34" max="34" width="6.625" style="30" customWidth="1"/>
    <col min="35" max="35" width="7.875" style="30" customWidth="1"/>
    <col min="36" max="36" width="6.625" style="30" customWidth="1"/>
    <col min="37" max="37" width="15.625" style="30" customWidth="1"/>
    <col min="38" max="38" width="6.625" style="30" customWidth="1"/>
    <col min="39" max="39" width="7.875" style="30" customWidth="1"/>
    <col min="40" max="40" width="6.625" style="30" customWidth="1"/>
    <col min="41" max="41" width="15.625" style="30" customWidth="1"/>
    <col min="42" max="42" width="6.625" style="30" customWidth="1"/>
    <col min="43" max="43" width="7.875" style="30" customWidth="1"/>
    <col min="44" max="44" width="6.625" style="30" customWidth="1"/>
    <col min="45" max="45" width="15.625" style="30" customWidth="1"/>
    <col min="46" max="46" width="6.625" style="30" customWidth="1"/>
    <col min="47" max="47" width="7.875" style="30" customWidth="1"/>
    <col min="48" max="48" width="6.625" style="30" customWidth="1"/>
    <col min="49" max="49" width="15.625" style="30" customWidth="1"/>
    <col min="50" max="50" width="6.625" style="30" customWidth="1"/>
    <col min="51" max="51" width="7.875" style="30" customWidth="1"/>
    <col min="52" max="52" width="6.625" style="30" customWidth="1"/>
    <col min="53" max="53" width="15.625" style="30" customWidth="1"/>
    <col min="54" max="54" width="6.625" style="30" customWidth="1"/>
    <col min="55" max="55" width="7.875" style="30" customWidth="1"/>
    <col min="56" max="56" width="6.625" style="30" customWidth="1"/>
    <col min="57" max="57" width="15.625" style="30" customWidth="1"/>
    <col min="58" max="58" width="6.625" style="30" customWidth="1"/>
    <col min="59" max="59" width="7.875" style="30" customWidth="1"/>
    <col min="60" max="60" width="6.625" style="30" customWidth="1"/>
    <col min="61" max="61" width="15.625" style="30" customWidth="1"/>
    <col min="62" max="62" width="6.625" style="30" customWidth="1"/>
    <col min="63" max="63" width="4.00390625" style="30" customWidth="1"/>
    <col min="64" max="64" width="10.125" style="30" customWidth="1"/>
    <col min="65" max="66" width="6.625" style="30" customWidth="1"/>
    <col min="67" max="67" width="4.75390625" style="30" customWidth="1"/>
    <col min="68" max="73" width="9.00390625" style="30" hidden="1" customWidth="1"/>
    <col min="74" max="16384" width="9.00390625" style="30" customWidth="1"/>
  </cols>
  <sheetData>
    <row r="1" ht="27.75" customHeight="1">
      <c r="A1" s="144" t="s">
        <v>154</v>
      </c>
    </row>
    <row r="2" spans="1:72" ht="25.5" customHeight="1">
      <c r="A2" s="317" t="s">
        <v>36</v>
      </c>
      <c r="B2" s="302" t="s">
        <v>37</v>
      </c>
      <c r="C2" s="303"/>
      <c r="D2" s="304"/>
      <c r="E2" s="333" t="s">
        <v>129</v>
      </c>
      <c r="F2" s="334"/>
      <c r="G2" s="334"/>
      <c r="H2" s="334"/>
      <c r="I2" s="334"/>
      <c r="J2" s="334"/>
      <c r="K2" s="334"/>
      <c r="L2" s="334"/>
      <c r="M2" s="335"/>
      <c r="N2" s="317" t="s">
        <v>155</v>
      </c>
      <c r="O2" s="317" t="s">
        <v>157</v>
      </c>
      <c r="P2" s="302" t="s">
        <v>134</v>
      </c>
      <c r="Q2" s="303"/>
      <c r="R2" s="304"/>
      <c r="S2" s="311" t="s">
        <v>41</v>
      </c>
      <c r="T2" s="314" t="s">
        <v>159</v>
      </c>
      <c r="V2" s="111"/>
      <c r="BQ2" s="94"/>
      <c r="BR2" s="94"/>
      <c r="BS2" s="112"/>
      <c r="BT2" s="112"/>
    </row>
    <row r="3" spans="1:72" ht="25.5" customHeight="1">
      <c r="A3" s="318"/>
      <c r="B3" s="305"/>
      <c r="C3" s="306"/>
      <c r="D3" s="307"/>
      <c r="E3" s="320" t="s">
        <v>38</v>
      </c>
      <c r="F3" s="321"/>
      <c r="G3" s="321"/>
      <c r="H3" s="321"/>
      <c r="I3" s="322"/>
      <c r="J3" s="302" t="s">
        <v>40</v>
      </c>
      <c r="K3" s="303"/>
      <c r="L3" s="303"/>
      <c r="M3" s="304"/>
      <c r="N3" s="318"/>
      <c r="O3" s="318"/>
      <c r="P3" s="305"/>
      <c r="Q3" s="306"/>
      <c r="R3" s="307"/>
      <c r="S3" s="312"/>
      <c r="T3" s="315"/>
      <c r="BQ3" s="112"/>
      <c r="BR3" s="112"/>
      <c r="BS3" s="112"/>
      <c r="BT3" s="112"/>
    </row>
    <row r="4" spans="1:72" ht="25.5" customHeight="1">
      <c r="A4" s="319"/>
      <c r="B4" s="308"/>
      <c r="C4" s="309"/>
      <c r="D4" s="310"/>
      <c r="E4" s="320" t="s">
        <v>39</v>
      </c>
      <c r="F4" s="321"/>
      <c r="G4" s="321"/>
      <c r="H4" s="321"/>
      <c r="I4" s="322"/>
      <c r="J4" s="308"/>
      <c r="K4" s="309"/>
      <c r="L4" s="309"/>
      <c r="M4" s="310"/>
      <c r="N4" s="319"/>
      <c r="O4" s="319"/>
      <c r="P4" s="308"/>
      <c r="Q4" s="309"/>
      <c r="R4" s="310"/>
      <c r="S4" s="313"/>
      <c r="T4" s="316"/>
      <c r="BQ4" s="112"/>
      <c r="BR4" s="112"/>
      <c r="BS4" s="112"/>
      <c r="BT4" s="112"/>
    </row>
    <row r="5" spans="1:71" ht="22.5" customHeight="1">
      <c r="A5" s="323" t="s">
        <v>60</v>
      </c>
      <c r="B5" s="326" t="str">
        <f>IF(C6="","",IF(OR(C6=1,C6=2,C6=3,C6=4,C6=5,C6=6,C6=7),"ดำเนินการ",IF(C6=8,"ดำเนินการครบ","Error")))</f>
        <v>ดำเนินการ</v>
      </c>
      <c r="C5" s="327"/>
      <c r="D5" s="328"/>
      <c r="E5" s="329" t="str">
        <f>IF(J5="","",IF(OR(J5=0,J5=1,J5=2,J5=3,J5=4,J5=5,J5=6,J5=7),"มีการดำเนินการ",IF(J5=8,"มีการดำเนินการครบ","Error")))</f>
        <v>มีการดำเนินการ</v>
      </c>
      <c r="F5" s="330"/>
      <c r="G5" s="330"/>
      <c r="H5" s="330"/>
      <c r="I5" s="330"/>
      <c r="J5" s="113">
        <v>6</v>
      </c>
      <c r="K5" s="331" t="str">
        <f>IF(J5="","",IF(OR(J5=1,J5=2,J5=3,J5=4,J5=5,J5=6,J5=7),"ข้อ ได้แก่ข้อที่",IF(OR(J5=0,J5=8),"ข้อ","ใส่เลขผิด")))</f>
        <v>ข้อ ได้แก่ข้อที่</v>
      </c>
      <c r="L5" s="331"/>
      <c r="M5" s="332"/>
      <c r="N5" s="358">
        <f>IF(AND(C6="",J5="",E7=""),"",IF(OR(E7&lt;&gt;"",B5="Error"),"Error",IF(AND(OR(C6=1,C6=2,C6=3,C6=4,C6=5,C6=6,C6=7,C6=8),OR(J5=0,J5=1,J5=2,J5=3,J5=4,J5=5,J5=6,J5=7,J5=8)),LOOKUP(J5,{0,1,2,4,6,8},{0,1,2,3,4,5}),"Error")))</f>
        <v>4</v>
      </c>
      <c r="O5" s="346"/>
      <c r="P5" s="349" t="str">
        <f>IF(OR(C6="",B5="Error",E5="Error",E7&lt;&gt;""),"",IF(C6&lt;=J5,"ü","û"))</f>
        <v>ü</v>
      </c>
      <c r="Q5" s="350"/>
      <c r="R5" s="351"/>
      <c r="S5" s="287"/>
      <c r="T5" s="290">
        <f>IF(AND(C6="",J5&lt;&gt;""),"ต้องใส่จำนวนข้อเป้าหมาย",IF(AND(OR(C6="",C6=1,C6=2,C6=3,C6=4,C6=5,C6=6,C6=7,C6=8),OR(J5="",J5=0,J5=1,J5=2,J5=3,J5=4,J5=5,J5=6,J5=7,J5=8)),"",IF(AND(C6="",J5=""),"","ใส่เลขผิด")))</f>
      </c>
      <c r="BP5" s="65">
        <f>IF(AND(E6="",F6="",G6="",H6="",I6="",J6="",K6=""),"",IF(AND(C6="",J5="",E6&lt;&gt;""),"incorrect",IF(AND(E6="",F6&lt;&gt;""),"space",IF(AND(F6&lt;&gt;"",E6&gt;F6),"ascending",IF(OR(E6="",E6=1,E6=2,E6=3,E6=4,E6=5,E6=6,E6=7,E6=8),"","Error")))))</f>
      </c>
      <c r="BQ5" s="65">
        <f>IF(AND(F6&lt;&gt;"",E6=F6),"ใส่เลขข้อซ้ำ",IF(AND(F6="",G6&lt;&gt;""),"space",IF(AND(G6&lt;&gt;"",F6&gt;G6),"ascending",IF(OR(F6="",F6=2,F6=3,F6=4,F6=5,F6=6,F6=7,F6=8),"","Error"))))</f>
      </c>
      <c r="BR5" s="65">
        <f>IF(AND(G6&lt;&gt;"",OR(E6=G6,F6=G6)),"ใส่เลขข้อซ้ำ",IF(AND(G6="",H6&lt;&gt;""),"space",IF(AND(H6&lt;&gt;"",G6&gt;H6),"ascending",IF(OR(G6="",G6=3,G6=4,G6=5,G6=6,G6=7,G6=8),"","Error"))))</f>
      </c>
      <c r="BS5" s="65">
        <f>IF(AND(H6&lt;&gt;"",OR(E6=H6,F6=H6,G6=H6)),"ใส่เลขข้อซ้ำ",IF(AND(H6="",I6&lt;&gt;""),"space",IF(AND(I6&lt;&gt;"",H6&gt;I6),"ascending",IF(OR(H6="",H6=4,H6=5,H6=6,H6=7,H6=8),"","Error"))))</f>
      </c>
    </row>
    <row r="6" spans="1:70" ht="22.5" customHeight="1">
      <c r="A6" s="324"/>
      <c r="B6" s="78"/>
      <c r="C6" s="146">
        <v>4</v>
      </c>
      <c r="D6" s="74" t="str">
        <f>IF(C6="","",IF(OR(C6=1,C6=2,C6=3,C6=4,C6=5,C6=6,C6=7,C6=8),"ข้อ",""))</f>
        <v>ข้อ</v>
      </c>
      <c r="E6" s="114">
        <v>1</v>
      </c>
      <c r="F6" s="115">
        <v>2</v>
      </c>
      <c r="G6" s="115">
        <v>3</v>
      </c>
      <c r="H6" s="115">
        <v>4</v>
      </c>
      <c r="I6" s="115">
        <v>5</v>
      </c>
      <c r="J6" s="115">
        <v>6</v>
      </c>
      <c r="K6" s="115"/>
      <c r="L6" s="336"/>
      <c r="M6" s="337"/>
      <c r="N6" s="359"/>
      <c r="O6" s="347"/>
      <c r="P6" s="352"/>
      <c r="Q6" s="353"/>
      <c r="R6" s="354"/>
      <c r="S6" s="345"/>
      <c r="T6" s="291"/>
      <c r="BP6" s="65">
        <f>IF(AND(I6&lt;&gt;"",OR(E6=I6,F6=I6,G6=I6,H6=I6)),"ใส่เลขข้อซ้ำ",IF(AND(I6="",J6&lt;&gt;""),"space",IF(AND(J6&lt;&gt;"",I6&gt;J6),"ascending",IF(OR(I6="",I6=5,I6=6,I6=7,I6=8),"","Error"))))</f>
      </c>
      <c r="BQ6" s="65">
        <f>IF(AND(J6&lt;&gt;"",OR(E6=J6,F6=J6,G6=J6,H6=J6,I6=J6)),"ใส่เลขข้อซ้ำ",IF(AND(J6="",K6&lt;&gt;""),"space",IF(AND(K6&lt;&gt;"",J6&gt;K6),"ascending",IF(OR(J6="",J6=6,J6=7,J6=8),"","Error"))))</f>
      </c>
      <c r="BR6" s="77">
        <f>IF(AND(K6&lt;&gt;"",OR(E6=K6,F6=K6,G6=K6,H6=K6,I6=K6,J6=K6)),"ใส่เลขข้อซ้ำ",IF(OR(K6="",K6=7,K6=8),"","Error"))</f>
      </c>
    </row>
    <row r="7" spans="1:72" ht="22.5" customHeight="1">
      <c r="A7" s="325"/>
      <c r="B7" s="338"/>
      <c r="C7" s="339"/>
      <c r="D7" s="340"/>
      <c r="E7" s="341">
        <f>IF(OR(B5="Error",E5="Error"),"",IF(AND(C6&lt;&gt;"",J5=""),"ให้ใส่จำนวนข้อที่ดำเนินการได้ทั้งหมด",IF(AND(J5=8,E6="",F6="",G6="",H6="",I6="",J6="",K6=""),"",IF(AND(OR(J5=0,J5=8),OR(E6&lt;&gt;"",F6&lt;&gt;"",G6&lt;&gt;"",H6&lt;&gt;"",I6&lt;&gt;"",J6&lt;&gt;"",K6&lt;&gt;"")),"ไม่ต้องใส่เลขข้อที่ได้ดำเนินการ",IF(AND(J5&lt;8,J5&gt;0,C6&lt;&gt;"",E6="",F6="",G6="",H6="",I6="",J6="",K6=""),"ใส่เลขข้อที่ได้ดำเนินการ",IF(BR7&lt;&gt;"",BR7,IF(OR(J5&gt;8,J5&lt;0,BP7="Error"),"ใส่เลขผิด",IF(J5&lt;&gt;BQ7,"จำนวนข้อที่ดำเนินการไม่เท่ากับข้อที่ระบุ",""))))))))</f>
      </c>
      <c r="F7" s="342"/>
      <c r="G7" s="342"/>
      <c r="H7" s="342"/>
      <c r="I7" s="342"/>
      <c r="J7" s="342"/>
      <c r="K7" s="342"/>
      <c r="L7" s="342"/>
      <c r="M7" s="343"/>
      <c r="N7" s="360"/>
      <c r="O7" s="348"/>
      <c r="P7" s="355"/>
      <c r="Q7" s="356"/>
      <c r="R7" s="357"/>
      <c r="S7" s="288"/>
      <c r="T7" s="292"/>
      <c r="BP7" s="85">
        <f>IF(COUNTIF(BP5:BS5:BP6:BR6,"Error")&gt;0,"Error","")</f>
      </c>
      <c r="BQ7" s="67">
        <f>COUNT(E6:K6)</f>
        <v>6</v>
      </c>
      <c r="BR7" s="344">
        <f>IF(COUNTIF(BP5,"incorrect")&gt;0,"ให้ใส่เป้าหมายและผลที่ดำเนินการได้ก่อน",IF(COUNTIF(BP5:BS5:BP6:BR6,"space")&gt;0,"ให้ใส่เลขข้อโดยไม่ข้ามช่องว่าง",IF(COUNTIF(BP5:BS5:BP6:BR6,"ascending")&gt;0,"ให้เรียงเลขข้อจากน้อยไปมาก",IF(COUNTIF(BQ5:BS5:BP6:BR6,"ใส่เลขข้อซ้ำ")&gt;0,"ใส่เลขข้อซ้ำ",""))))</f>
      </c>
      <c r="BS7" s="344"/>
      <c r="BT7" s="344"/>
    </row>
    <row r="8" spans="1:72" ht="22.5" customHeight="1">
      <c r="A8" s="131" t="s">
        <v>162</v>
      </c>
      <c r="B8" s="518">
        <v>4</v>
      </c>
      <c r="C8" s="519"/>
      <c r="D8" s="520"/>
      <c r="E8" s="521"/>
      <c r="F8" s="522"/>
      <c r="G8" s="522"/>
      <c r="H8" s="522"/>
      <c r="I8" s="522"/>
      <c r="J8" s="522"/>
      <c r="K8" s="522"/>
      <c r="L8" s="522"/>
      <c r="M8" s="523"/>
      <c r="N8" s="280"/>
      <c r="O8" s="163"/>
      <c r="P8" s="513"/>
      <c r="Q8" s="514"/>
      <c r="R8" s="515"/>
      <c r="S8" s="150"/>
      <c r="T8" s="108"/>
      <c r="BP8" s="104"/>
      <c r="BQ8" s="104"/>
      <c r="BR8" s="109"/>
      <c r="BS8" s="109"/>
      <c r="BT8" s="109"/>
    </row>
    <row r="9" spans="1:72" ht="22.5" customHeight="1">
      <c r="A9" s="131" t="s">
        <v>163</v>
      </c>
      <c r="B9" s="518">
        <v>3.51</v>
      </c>
      <c r="C9" s="519"/>
      <c r="D9" s="520"/>
      <c r="E9" s="521"/>
      <c r="F9" s="522"/>
      <c r="G9" s="522"/>
      <c r="H9" s="522"/>
      <c r="I9" s="522"/>
      <c r="J9" s="522"/>
      <c r="K9" s="522"/>
      <c r="L9" s="522"/>
      <c r="M9" s="523"/>
      <c r="N9" s="280"/>
      <c r="O9" s="163"/>
      <c r="P9" s="164"/>
      <c r="Q9" s="165"/>
      <c r="R9" s="166"/>
      <c r="S9" s="150"/>
      <c r="T9" s="108"/>
      <c r="BP9" s="104"/>
      <c r="BQ9" s="104"/>
      <c r="BR9" s="109"/>
      <c r="BS9" s="109"/>
      <c r="BT9" s="109"/>
    </row>
    <row r="10" spans="1:71" ht="22.5" customHeight="1">
      <c r="A10" s="131" t="s">
        <v>128</v>
      </c>
      <c r="B10" s="518">
        <v>4</v>
      </c>
      <c r="C10" s="519"/>
      <c r="D10" s="520"/>
      <c r="E10" s="521"/>
      <c r="F10" s="522"/>
      <c r="G10" s="522"/>
      <c r="H10" s="522"/>
      <c r="I10" s="522"/>
      <c r="J10" s="522"/>
      <c r="K10" s="522"/>
      <c r="L10" s="522"/>
      <c r="M10" s="523"/>
      <c r="N10" s="280"/>
      <c r="O10" s="163"/>
      <c r="P10" s="513"/>
      <c r="Q10" s="514"/>
      <c r="R10" s="515"/>
      <c r="S10" s="150"/>
      <c r="T10" s="108"/>
      <c r="BP10" s="65">
        <f>IF(AND(E12="",F12="",G12="",H12="",I12="",J12=""),"",IF(AND(B12="",J11="",E12&lt;&gt;""),"incorrect",IF(AND(E12="",F12&lt;&gt;""),"space",IF(AND(F12&lt;&gt;"",E12&gt;F12),"ascending",IF(OR(E12=1,E12=2,E12=3,E12=4,E12=5),1,IF(E12=6,"","Error"))))))</f>
        <v>1</v>
      </c>
      <c r="BQ10" s="65">
        <f>IF(AND(F12&lt;&gt;"",E12=F12),"ใส่เลขข้อซ้ำ",IF(AND(F12="",G12&lt;&gt;""),"space",IF(AND(G12&lt;&gt;"",F12&gt;G12),"ascending",IF(OR(F12=2,F12=3,F12=4,F12=5),1,IF(OR(F12="",F12=6),"","Error")))))</f>
        <v>1</v>
      </c>
      <c r="BR10" s="65">
        <f>IF(AND(G12&lt;&gt;"",OR(E12=G12,F12=G12)),"ใส่เลขข้อซ้ำ",IF(AND(G12="",H12&lt;&gt;""),"space",IF(AND(H12&lt;&gt;"",G12&gt;H12),"ascending",IF(OR(G12=3,G12=4,G12=5),1,IF(OR(G12="",G12=6),"","Error")))))</f>
        <v>1</v>
      </c>
      <c r="BS10" s="65">
        <f>IF(AND(H12&lt;&gt;"",OR(E12=H12,F12=H12,G12=H12)),"ใส่เลขข้อซ้ำ",IF(AND(H12="",I12&lt;&gt;""),"space",IF(AND(I12&lt;&gt;"",H12&gt;I12),"ascending",IF(OR(H12=4,H12=5),1,IF(OR(H12="",H12=6),"","Error")))))</f>
        <v>1</v>
      </c>
    </row>
    <row r="11" spans="1:71" ht="22.5" customHeight="1">
      <c r="A11" s="323" t="s">
        <v>64</v>
      </c>
      <c r="B11" s="326" t="str">
        <f>IF(B12="","",IF(OR(B12=1,B12=2,B12=3,B12=4),"ดำเนินการ",IF(B12=5,"ดำเนินการครบ","Error")))</f>
        <v>ดำเนินการ</v>
      </c>
      <c r="C11" s="327"/>
      <c r="D11" s="328"/>
      <c r="E11" s="329" t="str">
        <f>IF(J11="","",IF(OR(J11=0,J11=1,J11=2,J11=3,J11=4,J11=5),"มีการดำเนินการ",IF(J11=6,"มีการดำเนินการครบ","Error")))</f>
        <v>มีการดำเนินการ</v>
      </c>
      <c r="F11" s="330"/>
      <c r="G11" s="330"/>
      <c r="H11" s="330"/>
      <c r="I11" s="330"/>
      <c r="J11" s="116">
        <v>4</v>
      </c>
      <c r="K11" s="331" t="str">
        <f>IF(J11="","",IF(OR(J11=1,J11=2,J11=3,J11=4,J11=5),"ข้อ ได้แก่ข้อที่",IF(OR(J11=0,J11=6),"ข้อ","ใส่เลขผิด")))</f>
        <v>ข้อ ได้แก่ข้อที่</v>
      </c>
      <c r="L11" s="331"/>
      <c r="M11" s="332"/>
      <c r="N11" s="358">
        <f>IF(AND(B12="",J11="",E13=""),"",IF(OR(E13&lt;&gt;"",BP12="Error",B11="Error"),"Error",IF(AND(B12&lt;&gt;"",BR12&lt;5,BR12&gt;0),BR12,IF(AND(OR(B12=1,B12=2,B12=3,B12=4,B12=5),OR(J11=0,J11=1,J11=2,J11=3,J11=4,J11=5,J11=6)),LOOKUP(J11,{0,1,2,3,4,6},{0,1,2,3,4,5}),"Error"))))</f>
        <v>4</v>
      </c>
      <c r="O11" s="346"/>
      <c r="P11" s="400" t="str">
        <f>IF(OR(B12="",B11="Error",E11="Error",E13&lt;&gt;""),"",IF(AND(B12&lt;5,B12&lt;=J11),"ü",IF(AND(B12=5,J11=6),"ü","û")))</f>
        <v>ü</v>
      </c>
      <c r="Q11" s="401"/>
      <c r="R11" s="402"/>
      <c r="S11" s="287"/>
      <c r="T11" s="290">
        <f>IF(AND(B12="",J11&lt;&gt;""),"ต้องใส่จำนวนข้อเป้าหมาย",IF(AND(OR(B12="",B12=1,B12=2,B12=3,B12=4,B12=5),OR(J11="",J11=0,J11=1,J11=2,J11=3,J11=4,J11=5,J11=6)),"",IF(AND(B12="",J11=""),"","ใส่เลขผิด")))</f>
      </c>
      <c r="V11" s="120"/>
      <c r="BP11" s="77">
        <f>IF(AND(I12&lt;&gt;"",OR(E12=I12,F12=I12,G12=I12,H12=I12)),"ใส่เลขข้อซ้ำ",IF(OR(I12="",I12=5,I12=6),"","Error"))</f>
      </c>
      <c r="BQ11" s="107"/>
      <c r="BS11" s="148" t="str">
        <f>IF(OR(B12="",J11=""),"",IF(AND(B12&lt;5,B12&lt;=J11),"ü",IF(AND(B12=5,J11=6),"ü","û")))</f>
        <v>ü</v>
      </c>
    </row>
    <row r="12" spans="1:73" ht="22.5" customHeight="1">
      <c r="A12" s="324"/>
      <c r="B12" s="147">
        <v>3</v>
      </c>
      <c r="C12" s="361" t="str">
        <f>IF(B12="","",IF(OR(B12=1,B12=2,B12=3,B12=4),"ข้อ",IF(B12=5,"ข้อและเป็นไป","")))</f>
        <v>ข้อ</v>
      </c>
      <c r="D12" s="362"/>
      <c r="E12" s="117">
        <v>1</v>
      </c>
      <c r="F12" s="118">
        <v>2</v>
      </c>
      <c r="G12" s="118">
        <v>3</v>
      </c>
      <c r="H12" s="119">
        <v>4</v>
      </c>
      <c r="I12" s="115"/>
      <c r="J12" s="363"/>
      <c r="K12" s="363"/>
      <c r="L12" s="363"/>
      <c r="M12" s="364"/>
      <c r="N12" s="359"/>
      <c r="O12" s="347"/>
      <c r="P12" s="403"/>
      <c r="Q12" s="404"/>
      <c r="R12" s="405"/>
      <c r="S12" s="345"/>
      <c r="T12" s="291"/>
      <c r="V12" s="120"/>
      <c r="BP12" s="85">
        <f>IF(COUNTIF(BP10:BS10:BP11,"Error")&gt;0,"Error","")</f>
      </c>
      <c r="BQ12" s="67">
        <f>COUNT(E12:I12)</f>
        <v>4</v>
      </c>
      <c r="BR12" s="73">
        <f>IF(COUNTIF(BP10:BS10,"Error")&gt;0,"Error",IF(J11="","",IF(J11=6,5,SUM(BP10:BS10))))</f>
        <v>4</v>
      </c>
      <c r="BS12" s="344">
        <f>IF(COUNTIF(BP10,"incorrect")&gt;0,"ให้ใส่เป้าหมายและผลที่ดำเนินการได้ก่อน",IF(COUNTIF(BP10:BS10:BP11,"space")&gt;0,"ให้ใส่เลขข้อโดยไม่ข้ามช่องว่าง",IF(COUNTIF(BP10:BS10:BP11,"ascending")&gt;0,"ให้เรียงเลขข้อจากน้อยไปมาก",IF(COUNTIF(BQ10:BS10:BP11,"ใส่เลขข้อซ้ำ")&gt;0,"ใส่เลขข้อซ้ำ",""))))</f>
      </c>
      <c r="BT12" s="344"/>
      <c r="BU12" s="344"/>
    </row>
    <row r="13" spans="1:71" ht="45" customHeight="1" thickBot="1">
      <c r="A13" s="325"/>
      <c r="B13" s="365">
        <f>IF(B12=5,"ตามเกณฑ์มาตรฐานเพิ่มเติมเฉพาะกลุ่ม","")</f>
      </c>
      <c r="C13" s="366"/>
      <c r="D13" s="367"/>
      <c r="E13" s="341">
        <f>IF(OR(B11="Error",E11="Error"),"",IF(AND(B12&lt;&gt;"",J11=""),"ให้ใส่จำนวนข้อที่ดำเนินการได้ทั้งหมด",IF(AND(J11=6,E12="",F12="",G12="",H12="",I12=""),"",IF(AND(OR(J11=0,J11=6),OR(E12&lt;&gt;"",F12&lt;&gt;"",G12&lt;&gt;"",H12&lt;&gt;"",I12&lt;&gt;"")),"ไม่ต้องใส่เลขข้อที่ได้ดำเนินการ",IF(AND(J11&lt;6,J11&gt;0,B12&lt;&gt;"",E12="",F12="",G12="",H12="",I12=""),"ใส่เลขข้อที่ได้ดำเนินการ",IF(BS12&lt;&gt;"",BS12,IF(BP12="Error","ใส่เลขผิด",IF(J11&lt;&gt;BQ12,"จำนวนข้อที่ดำเนินการไม่เท่ากับข้อที่ระบุ",""))))))))</f>
      </c>
      <c r="F13" s="342"/>
      <c r="G13" s="342"/>
      <c r="H13" s="342"/>
      <c r="I13" s="342"/>
      <c r="J13" s="342"/>
      <c r="K13" s="342"/>
      <c r="L13" s="342"/>
      <c r="M13" s="343"/>
      <c r="N13" s="360"/>
      <c r="O13" s="348"/>
      <c r="P13" s="406"/>
      <c r="Q13" s="407"/>
      <c r="R13" s="408"/>
      <c r="S13" s="288"/>
      <c r="T13" s="292"/>
      <c r="U13" s="154"/>
      <c r="V13" s="155">
        <f>IF(AND(Z14="",AD15=""),"",IF(OR(AND(COUNT(Y14:AB14)&lt;&gt;0,COUNT(Y15:AE15)=0),AND(COUNT(Y14:AB14)=0,COUNT(Y15:AE15)&lt;&gt;0)),"","ตัวบ่งชี้ที่ 2.2 ให้เลือกได้เพียงทางเลือกเดียวเท่านั้น"))</f>
      </c>
      <c r="W13" s="156"/>
      <c r="X13" s="156"/>
      <c r="Y13" s="156"/>
      <c r="Z13" s="155">
        <f>IF(AND(Z16="",AD17=""),"",IF(OR(AND(COUNT(Y16:AB16)&lt;&gt;0,COUNT(Y17:AE17)=0),AND(COUNT(Y16:AB16)=0,COUNT(Y17:AE17)&lt;&gt;0)),"","ตัวบ่งชี้ที่ 2.3 ให้เลือกได้เพียงทางเลือกเดียวเท่านั้น"))</f>
      </c>
      <c r="AA13" s="156"/>
      <c r="AB13" s="156"/>
      <c r="AC13" s="156"/>
      <c r="AD13" s="156"/>
      <c r="AE13" s="157"/>
      <c r="AF13" s="157"/>
      <c r="BP13" s="286">
        <f>IF(AND(Z14="",AD15=""),"",IF(AND(Z14&lt;&gt;"",AD15&lt;&gt;""),"Error",IF(Z14&lt;&gt;"",Z14,IF(AD15&lt;&gt;"",AD15,"Error"))))</f>
        <v>17</v>
      </c>
      <c r="BQ13" s="286"/>
      <c r="BR13" s="293"/>
      <c r="BS13" s="294"/>
    </row>
    <row r="14" spans="1:71" ht="33.75" customHeight="1">
      <c r="A14" s="323" t="s">
        <v>61</v>
      </c>
      <c r="B14" s="381" t="str">
        <f>IF(D14="","",IF(OR(D14&lt;0.0001,D14&gt;100),"ไม่น้อยกว่าหรือ = 0, ไม่เกิน 100","ร้อยละ"))</f>
        <v>ร้อยละ</v>
      </c>
      <c r="C14" s="382"/>
      <c r="D14" s="385">
        <v>4</v>
      </c>
      <c r="E14" s="389">
        <f>IF(D14="","",IF(AND(AF14="",AF15=""),"",IF(AND(AF14&lt;&gt;"",AF15&lt;&gt;""),"Error",IF(OR(D14&lt;0.0001,D14&gt;100),"Error",IF(OR(BP13="Error",BR14="Error"),"Error",IF(AF14&lt;&gt;"",Y14,AC15*100/AD15))))))</f>
        <v>0</v>
      </c>
      <c r="F14" s="390"/>
      <c r="G14" s="152" t="str">
        <f>IF(OR(E14="",E14="Error"),"",IF(AF14&lt;&gt;"","X","-"))</f>
        <v>X</v>
      </c>
      <c r="H14" s="387">
        <f>IF(OR(E14="Error",E14=""),"",IF(AF14&lt;&gt;"",100,Y15*100/Z15))</f>
        <v>100</v>
      </c>
      <c r="I14" s="388"/>
      <c r="J14" s="393">
        <f>IF(OR(E14="",E14="Error",F15="Error"),"",IF(AF14&lt;&gt;"",ROUND(E14*100/F15,2),E14-H14))</f>
        <v>0</v>
      </c>
      <c r="K14" s="394"/>
      <c r="L14" s="409" t="str">
        <f>IF(J14="","","X 5")</f>
        <v>X 5</v>
      </c>
      <c r="M14" s="410"/>
      <c r="N14" s="289">
        <f>IF(OR(D14="",E14="Error"),"",IF(AND(AF14="",AF15=""),"",IF(AND(AF14&lt;&gt;"",AF15&lt;&gt;""),"Error",IF(AF14&lt;&gt;"",AF14,AF15))))</f>
        <v>0</v>
      </c>
      <c r="O14" s="371"/>
      <c r="P14" s="372" t="str">
        <f>IF(OR(D14="",B14="Error",E14="Error",N14=""),"",IF(D14&lt;=J14,"ü","û"))</f>
        <v>û</v>
      </c>
      <c r="Q14" s="373"/>
      <c r="R14" s="374"/>
      <c r="S14" s="287"/>
      <c r="T14" s="380">
        <f>IF(AND(D14="",OR(AF14&lt;&gt;"",AF15&lt;&gt;"")),"ต้องใส่ร้อยละเป้าหมาย",IF(D14="","",IF(OR(D14&lt;0.0001,D14&gt;100),"ใส่เลขผิด",IF(BR14="Error","ตรวจสอบจำนวน อจ.ประจำ",""))))</f>
      </c>
      <c r="U14" s="378" t="s">
        <v>4</v>
      </c>
      <c r="V14" s="299" t="s">
        <v>44</v>
      </c>
      <c r="W14" s="300"/>
      <c r="X14" s="301"/>
      <c r="Y14" s="158">
        <v>0</v>
      </c>
      <c r="Z14" s="368">
        <v>17</v>
      </c>
      <c r="AA14" s="369"/>
      <c r="AB14" s="370"/>
      <c r="AC14" s="295"/>
      <c r="AD14" s="296"/>
      <c r="AE14" s="296"/>
      <c r="AF14" s="159">
        <f>IF(OR(Y14="",Z14=""),"",IF(ROUND((Y14*100/Z14*5/30),2)&gt;5,5,IF(ROUND((Y14*100/Z14*5/30),2)&lt;0,0,ROUND((Y14*100/Z14*5/30),2))))</f>
        <v>0</v>
      </c>
      <c r="BP14" s="293"/>
      <c r="BQ14" s="294"/>
      <c r="BR14" s="398">
        <f>IF(OR(BP13="",BP15=""),"",IF(AND(BP13&lt;&gt;BP15,BP13&lt;Y20,BP15&lt;Y20),"Error",BP13))</f>
        <v>17</v>
      </c>
      <c r="BS14" s="399"/>
    </row>
    <row r="15" spans="1:71" ht="33.75" customHeight="1" thickBot="1">
      <c r="A15" s="325"/>
      <c r="B15" s="383"/>
      <c r="C15" s="384"/>
      <c r="D15" s="386"/>
      <c r="E15" s="153"/>
      <c r="F15" s="391">
        <f>IF(D14="","",IF(AND(AF14="",AF15=""),"",IF(AND(AF14&lt;&gt;"",AF15&lt;&gt;""),"Error",IF(OR(D14&lt;0.0001,D14&gt;100),"Error",IF(OR(BP13="Error",BR14="Error"),"Error",IF(AF14&lt;&gt;"",Z14,""))))))</f>
        <v>17</v>
      </c>
      <c r="G15" s="391"/>
      <c r="H15" s="391"/>
      <c r="I15" s="392"/>
      <c r="J15" s="414">
        <f>IF(J14="","",IF(AD14&lt;&gt;"",30,6))</f>
        <v>6</v>
      </c>
      <c r="K15" s="415"/>
      <c r="L15" s="415"/>
      <c r="M15" s="416"/>
      <c r="N15" s="289"/>
      <c r="O15" s="371"/>
      <c r="P15" s="375"/>
      <c r="Q15" s="376"/>
      <c r="R15" s="377"/>
      <c r="S15" s="288"/>
      <c r="T15" s="380"/>
      <c r="U15" s="379"/>
      <c r="V15" s="411" t="s">
        <v>45</v>
      </c>
      <c r="W15" s="412"/>
      <c r="X15" s="413"/>
      <c r="Y15" s="160"/>
      <c r="Z15" s="395"/>
      <c r="AA15" s="396"/>
      <c r="AB15" s="397"/>
      <c r="AC15" s="161"/>
      <c r="AD15" s="297"/>
      <c r="AE15" s="298"/>
      <c r="AF15" s="162">
        <f>IF(OR(Y15="",Z15="",AC15="",AD15=""),"",IF(ROUND((((AC15*100/AD15)-(Y15*100/Z15))*5/6),2)&gt;5,5,IF(ROUND((((AC15*100/AD15)-(Y15*100/Z15))*5/6),2)&lt;0,0,ROUND((((AC15*100/AD15)-(Y15*100/Z15))*5/6),2))))</f>
      </c>
      <c r="BP15" s="417">
        <f>IF(AND(Z16="",AD17=""),"",IF(AND(Z16&lt;&gt;"",AD17&lt;&gt;""),"Error",IF(Z16&lt;&gt;"",Z16,IF(AD17&lt;&gt;"",AD17,"Error"))))</f>
        <v>17</v>
      </c>
      <c r="BQ15" s="418"/>
      <c r="BR15" s="293"/>
      <c r="BS15" s="294"/>
    </row>
    <row r="16" spans="1:32" ht="33.75" customHeight="1">
      <c r="A16" s="323" t="s">
        <v>62</v>
      </c>
      <c r="B16" s="381" t="str">
        <f>IF(D16="","",IF(OR(D16&lt;0.0001,D16&gt;100),"ไม่น้อยกว่าหรือ = 0, ไม่เกิน 100","ร้อยละ"))</f>
        <v>ร้อยละ</v>
      </c>
      <c r="C16" s="382"/>
      <c r="D16" s="419">
        <v>30</v>
      </c>
      <c r="E16" s="389">
        <f>IF(D16="","",IF(AND(AF16="",AF17=""),"",IF(AND(AF16&lt;&gt;"",AF17&lt;&gt;""),"Error",IF(OR(D16&lt;0.0001,D16&gt;100),"Error",IF(OR(BP15="Error",BR14="Error"),"Error",IF(AF16&lt;&gt;"",Y16,AC17*100/AD17))))))</f>
        <v>0</v>
      </c>
      <c r="F16" s="390"/>
      <c r="G16" s="152" t="str">
        <f>IF(OR(E16="",E16="Error"),"",IF(AD16&lt;&gt;"","X","-"))</f>
        <v>-</v>
      </c>
      <c r="H16" s="387">
        <f>IF(OR(E16="Error",E16=""),"",IF(AF16&lt;&gt;"",100,Y17*100/Z17))</f>
        <v>100</v>
      </c>
      <c r="I16" s="388"/>
      <c r="J16" s="393">
        <f>IF(OR(E16="",E16="Error",F17="Error"),"",IF(AF16&lt;&gt;"",ROUND(E16*100/F17,2),E16-H16))</f>
        <v>0</v>
      </c>
      <c r="K16" s="394"/>
      <c r="L16" s="409" t="str">
        <f>IF(J16="","","X 5")</f>
        <v>X 5</v>
      </c>
      <c r="M16" s="410"/>
      <c r="N16" s="289">
        <f>IF(OR(D16="",E16="Error"),"",IF(AND(AF16="",AF17=""),"",IF(AND(AF16&lt;&gt;"",AF17&lt;&gt;""),"Error",IF(AF16&lt;&gt;"",AF16,AF17))))</f>
        <v>0</v>
      </c>
      <c r="O16" s="371"/>
      <c r="P16" s="372" t="str">
        <f>IF(OR(D16="",B16="Error",E16="Error",N16=""),"",IF(D16&lt;=J16,"ü","û"))</f>
        <v>û</v>
      </c>
      <c r="Q16" s="373"/>
      <c r="R16" s="374"/>
      <c r="S16" s="287"/>
      <c r="T16" s="380">
        <f>IF(AND(D16="",OR(AF16&lt;&gt;"",AF17&lt;&gt;"")),"ต้องใส่ร้อยละเป้าหมาย",IF(D16="","",IF(OR(D16&lt;0.0001,D16&gt;100),"ใส่เลขผิด",IF(BR14="Error","ตรวจสอบจำนวน อจ.ประจำ",""))))</f>
      </c>
      <c r="U16" s="427" t="s">
        <v>5</v>
      </c>
      <c r="V16" s="299" t="s">
        <v>44</v>
      </c>
      <c r="W16" s="300"/>
      <c r="X16" s="301"/>
      <c r="Y16" s="158">
        <v>0</v>
      </c>
      <c r="Z16" s="429">
        <v>17</v>
      </c>
      <c r="AA16" s="430"/>
      <c r="AB16" s="431"/>
      <c r="AC16" s="432"/>
      <c r="AD16" s="433"/>
      <c r="AE16" s="434"/>
      <c r="AF16" s="159">
        <f>IF(OR(Y16="",Z16=""),"",IF(ROUND((Y16*100/Z16*5/60),2)&gt;5,5,IF(ROUND((Y16*100/Z16*5/60),2)&lt;0,0,ROUND((Y16*100/Z16*5/60),2))))</f>
        <v>0</v>
      </c>
    </row>
    <row r="17" spans="1:71" ht="33.75" customHeight="1" thickBot="1">
      <c r="A17" s="325"/>
      <c r="B17" s="383"/>
      <c r="C17" s="384"/>
      <c r="D17" s="420"/>
      <c r="E17" s="153"/>
      <c r="F17" s="391">
        <f>IF(D16="","",IF(AND(AF16="",AF17=""),"",IF(AND(AF16&lt;&gt;"",AF17&lt;&gt;""),"Error",IF(OR(D16&lt;0.0001,D16&gt;100),"Error",IF(OR(BP15="Error",BR14="Error"),"Error",IF(AF16&lt;&gt;"",Z16,""))))))</f>
        <v>17</v>
      </c>
      <c r="G17" s="391"/>
      <c r="H17" s="391"/>
      <c r="I17" s="392"/>
      <c r="J17" s="414">
        <f>IF(J16="","",IF(AD16&lt;&gt;"",60,12))</f>
        <v>12</v>
      </c>
      <c r="K17" s="415"/>
      <c r="L17" s="415"/>
      <c r="M17" s="416"/>
      <c r="N17" s="289"/>
      <c r="O17" s="371"/>
      <c r="P17" s="375"/>
      <c r="Q17" s="376"/>
      <c r="R17" s="377"/>
      <c r="S17" s="288"/>
      <c r="T17" s="380"/>
      <c r="U17" s="428"/>
      <c r="V17" s="411" t="s">
        <v>45</v>
      </c>
      <c r="W17" s="412"/>
      <c r="X17" s="413"/>
      <c r="Y17" s="160"/>
      <c r="Z17" s="395"/>
      <c r="AA17" s="396"/>
      <c r="AB17" s="397"/>
      <c r="AC17" s="161"/>
      <c r="AD17" s="297"/>
      <c r="AE17" s="298"/>
      <c r="AF17" s="162">
        <f>IF(OR(Y17="",Z17="",AC17="",AD17=""),"",IF(ROUND((((AC17*100/AD17)-(Y17*100/Z17))*5/12),2)&gt;5,5,IF(ROUND((((AC17*100/AD17)-(Y17*100/Z17))*5/12),2)&lt;0,0,ROUND((((AC17*100/AD17)-(Y17*100/Z17))*5/12),2))))</f>
      </c>
      <c r="BP17" s="65">
        <f>IF(AND(E19="",F19="",G19="",H19="",I19="",J19=""),"",IF(AND(C19="",J18="",E19&lt;&gt;""),"incorrect",IF(AND(E19="",F19&lt;&gt;""),"space",IF(AND(F19&lt;&gt;"",E19&gt;F19),"ascending",IF(OR(E19="",E19=1,E19=2,E19=3,E19=4,E19=5,E19=6,E19=7),"","Error")))))</f>
      </c>
      <c r="BQ17" s="65">
        <f>IF(AND(F19&lt;&gt;"",E19=F19),"ใส่เลขข้อซ้ำ",IF(AND(F19="",G19&lt;&gt;""),"space",IF(AND(G19&lt;&gt;"",F19&gt;G19),"ascending",IF(OR(F19="",F19=2,F19=3,F19=4,F19=5,F19=6,F19=7),"","Error"))))</f>
      </c>
      <c r="BR17" s="65">
        <f>IF(AND(G19&lt;&gt;"",OR(E19=G19,F19=G19)),"ใส่เลขข้อซ้ำ",IF(AND(G19="",H19&lt;&gt;""),"space",IF(AND(H19&lt;&gt;"",G19&gt;H19),"ascending",IF(OR(G19="",G19=3,G19=4,G19=5,G19=6,G19=7),"","Error"))))</f>
      </c>
      <c r="BS17" s="65">
        <f>IF(AND(H19&lt;&gt;"",OR(E19=H19,F19=H19,G19=H19)),"ใส่เลขข้อซ้ำ",IF(AND(H19="",I19&lt;&gt;""),"space",IF(AND(I19&lt;&gt;"",H19&gt;I19),"ascending",IF(OR(H19="",H19=4,H19=5,H19=6,H19=7),"","Error"))))</f>
      </c>
    </row>
    <row r="18" spans="1:69" ht="22.5" customHeight="1">
      <c r="A18" s="323" t="s">
        <v>65</v>
      </c>
      <c r="B18" s="326" t="str">
        <f>IF(C19="","",IF(OR(C19=1,C19=2,C19=3,C19=4,C19=5,C19=6),"ดำเนินการ",IF(C19=7,"ดำเนินการครบ","Error")))</f>
        <v>ดำเนินการ</v>
      </c>
      <c r="C18" s="327"/>
      <c r="D18" s="328"/>
      <c r="E18" s="329" t="str">
        <f>IF(J18="","",IF(OR(J18=0,J18=1,J18=2,J18=3,J18=4,J18=5,J18=6),"มีการดำเนินการ",IF(J18=7,"มีการดำเนินการครบ","Error")))</f>
        <v>มีการดำเนินการ</v>
      </c>
      <c r="F18" s="330"/>
      <c r="G18" s="330"/>
      <c r="H18" s="330"/>
      <c r="I18" s="330"/>
      <c r="J18" s="116">
        <v>5</v>
      </c>
      <c r="K18" s="331" t="str">
        <f>IF(J18="","",IF(OR(J18=1,J18=2,J18=3,J18=4,J18=5,J18=6),"ข้อ ได้แก่ข้อที่",IF(OR(J18=0,J18=7),"ข้อ","ใส่เลขผิด")))</f>
        <v>ข้อ ได้แก่ข้อที่</v>
      </c>
      <c r="L18" s="331"/>
      <c r="M18" s="332"/>
      <c r="N18" s="358">
        <f>IF(AND(C19="",J18="",E20=""),"",IF(OR(E20&lt;&gt;"",B18="Error"),"Error",IF(AND(OR(C19=1,C19=2,C19=3,C19=4,C19=5,C19=6,C19=7),OR(J18=0,J18=1,J18=2,J18=3,J18=4,J18=5,J18=6,J18=7)),LOOKUP(J18,{0,1,2,3,5,7},{0,1,2,3,4,5}),"Error")))</f>
        <v>4</v>
      </c>
      <c r="O18" s="424"/>
      <c r="P18" s="400" t="str">
        <f>IF(OR(C19="",B18="Error",E18="Error",E20&lt;&gt;""),"",IF(C19&lt;=J18,"ü","û"))</f>
        <v>ü</v>
      </c>
      <c r="Q18" s="401"/>
      <c r="R18" s="402"/>
      <c r="S18" s="287"/>
      <c r="T18" s="290">
        <f>IF(AND(C19="",J18&lt;&gt;""),"ต้องใส่จำนวนข้อเป้าหมาย",IF(AND(OR(C19="",C19=1,C19=2,C19=3,C19=4,C19=5,C19=6,C19=7),OR(J18="",J18=0,J18=1,J18=2,J18=3,J18=4,J18=5,J18=6,J18=7)),"",IF(AND(C19="",J18=""),"","ใส่เลขผิด")))</f>
      </c>
      <c r="AE18" s="51"/>
      <c r="BP18" s="65">
        <f>IF(AND(I19&lt;&gt;"",OR(E19=I19,F19=I19,G19=I19,H19=I19)),"ใส่เลขข้อซ้ำ",IF(AND(I19="",J19&lt;&gt;""),"space",IF(AND(J19&lt;&gt;"",I19&gt;J19),"ascending",IF(OR(I19="",I19=5,I19=6,I19=7),"","Error"))))</f>
      </c>
      <c r="BQ18" s="65">
        <f>IF(AND(J19&lt;&gt;"",OR(E19=J19,F19=J19,G19=J19,H19=J19,I19=J19)),"ใส่เลขข้อซ้ำ",IF(OR(J19="",J19=6,J19=7),"","Error"))</f>
      </c>
    </row>
    <row r="19" spans="1:72" ht="22.5" customHeight="1">
      <c r="A19" s="324"/>
      <c r="B19" s="78"/>
      <c r="C19" s="146">
        <v>3</v>
      </c>
      <c r="D19" s="74" t="str">
        <f>IF(C19="","",IF(OR(C19=1,C19=2,C19=3,C19=4,C19=5,C19=6,C19=7),"ข้อ",""))</f>
        <v>ข้อ</v>
      </c>
      <c r="E19" s="114">
        <v>1</v>
      </c>
      <c r="F19" s="115">
        <v>2</v>
      </c>
      <c r="G19" s="115">
        <v>3</v>
      </c>
      <c r="H19" s="284">
        <v>4</v>
      </c>
      <c r="I19" s="115">
        <v>5</v>
      </c>
      <c r="J19" s="115"/>
      <c r="K19" s="363"/>
      <c r="L19" s="363"/>
      <c r="M19" s="364"/>
      <c r="N19" s="359"/>
      <c r="O19" s="425"/>
      <c r="P19" s="403"/>
      <c r="Q19" s="404"/>
      <c r="R19" s="405"/>
      <c r="S19" s="345"/>
      <c r="T19" s="291"/>
      <c r="AE19" s="51"/>
      <c r="BP19" s="85">
        <f>IF(COUNTIF(BP17:BS17:BP18:BQ18,"Error")&gt;0,"Error","")</f>
      </c>
      <c r="BQ19" s="75">
        <f>COUNT(E19:J19)</f>
        <v>5</v>
      </c>
      <c r="BR19" s="421">
        <f>IF(COUNTIF(BP17,"incorrect")&gt;0,"ให้ใส่เป้าหมายและผลที่ดำเนินการได้ก่อน",IF(COUNTIF(BP17:BS17:BP18:BQ18,"space")&gt;0,"ให้ใส่เลขข้อโดยไม่ข้ามช่องว่าง",IF(COUNTIF(BP17:BS17:BP18:BQ18,"ascending")&gt;0,"ให้เรียงเลขข้อจากน้อยไปมาก",IF(COUNTIF(BQ17:BS17:BP18:BQ18,"ใส่เลขข้อซ้ำ")&gt;0,"ใส่เลขข้อซ้ำ",""))))</f>
      </c>
      <c r="BS19" s="422"/>
      <c r="BT19" s="423"/>
    </row>
    <row r="20" spans="1:71" ht="45" customHeight="1">
      <c r="A20" s="325"/>
      <c r="B20" s="338"/>
      <c r="C20" s="339"/>
      <c r="D20" s="340"/>
      <c r="E20" s="341">
        <f>IF(OR(B18="Error",E18="Error"),"",IF(AND(C19&lt;&gt;"",J18=""),"ให้ใส่จำนวนข้อที่ดำเนินการได้ทั้งหมด",IF(AND(J18=7,E19="",F19="",G19="",H19="",I19="",J19=""),"",IF(AND(OR(J18=0,J18=7),OR(E19&lt;&gt;"",F19&lt;&gt;"",G19&lt;&gt;"",H19&lt;&gt;"",I19&lt;&gt;"",J19&lt;&gt;"")),"ไม่ต้องใส่เลขข้อที่ได้ดำเนินการ",IF(AND(J18&lt;7,J18&gt;0,C19&lt;&gt;"",E19="",F19="",G19="",H19="",I19="",J19=""),"ใส่เลขข้อที่ได้ดำเนินการ",IF(BR19&lt;&gt;"",BR19,IF(BP19="Error","ใส่เลขผิด",IF(J18&lt;&gt;BQ19,"จำนวนข้อที่ดำเนินการไม่เท่ากับข้อที่ระบุ",""))))))))</f>
      </c>
      <c r="F20" s="342"/>
      <c r="G20" s="342"/>
      <c r="H20" s="342"/>
      <c r="I20" s="342"/>
      <c r="J20" s="342"/>
      <c r="K20" s="342"/>
      <c r="L20" s="342"/>
      <c r="M20" s="343"/>
      <c r="N20" s="360"/>
      <c r="O20" s="426"/>
      <c r="P20" s="406"/>
      <c r="Q20" s="407"/>
      <c r="R20" s="408"/>
      <c r="S20" s="288"/>
      <c r="T20" s="292"/>
      <c r="U20" s="70" t="s">
        <v>130</v>
      </c>
      <c r="V20" s="71"/>
      <c r="W20" s="71"/>
      <c r="X20" s="72"/>
      <c r="Y20" s="58">
        <f>IF(OR(BL58="Error",BL65="Error",BL72="Error",BL79="Error",BL86="Error",BL93="Error"),"Error",IF(SUM(BL58,BL65,BL72,BL79,BL86,BL93)=0,"",SUM(BL58,BL65,BL72,BL79,BL86,BL93)))</f>
        <v>15</v>
      </c>
      <c r="Z20" s="122">
        <f>IF(Y20="","",IF(OR(Y20="Error",BR14="Error"),"จำนวนอาจารย์ประจำที่คำนวณได้จากตัวบ่งชี้ที่ 4.3 ไม่ตรงกับตัวบ่งชี้ที่ 2.2 หรือ 2.3",""))</f>
      </c>
      <c r="AA20" s="123"/>
      <c r="AB20" s="123"/>
      <c r="AC20" s="123"/>
      <c r="AD20" s="123"/>
      <c r="AE20" s="51"/>
      <c r="BP20" s="65">
        <f>IF(AND(E22="",F22="",G22="",H22="",I22="",J22=""),"",IF(AND(C22="",J21="",E22&lt;&gt;""),"incorrect",IF(AND(E22="",F22&lt;&gt;""),"space",IF(AND(F22&lt;&gt;"",E22&gt;F22),"ascending",IF(OR(E22="",E22=1,E22=2,E22=3,E22=4,E22=5,E22=6,E22=7),"","Error")))))</f>
      </c>
      <c r="BQ20" s="65">
        <f>IF(AND(F22&lt;&gt;"",E22=F22),"ใส่เลขข้อซ้ำ",IF(AND(F22="",G22&lt;&gt;""),"space",IF(AND(G22&lt;&gt;"",F22&gt;G22),"ascending",IF(OR(F22="",F22=2,F22=3,F22=4,F22=5,F22=6,F22=7),"","Error"))))</f>
      </c>
      <c r="BR20" s="65">
        <f>IF(AND(G22&lt;&gt;"",OR(E22=G22,F22=G22)),"ใส่เลขข้อซ้ำ",IF(AND(G22="",H22&lt;&gt;""),"space",IF(AND(H22&lt;&gt;"",G22&gt;H22),"ascending",IF(OR(G22="",G22=3,G22=4,G22=5,G22=6,G22=7),"","Error"))))</f>
      </c>
      <c r="BS20" s="65">
        <f>IF(AND(H22&lt;&gt;"",OR(E22=H22,F22=H22,G22=H22)),"ใส่เลขข้อซ้ำ",IF(AND(H22="",I22&lt;&gt;""),"space",IF(AND(I22&lt;&gt;"",H22&gt;I22),"ascending",IF(OR(H22="",H22=4,H22=5,H22=6,H22=7),"","Error"))))</f>
      </c>
    </row>
    <row r="21" spans="1:69" ht="22.5" customHeight="1">
      <c r="A21" s="435" t="s">
        <v>66</v>
      </c>
      <c r="B21" s="326" t="str">
        <f>IF(C22="","",IF(OR(C22=1,C22=2,C22=3,C22=4,C22=5,C22=6),"ดำเนินการ",IF(C22=7,"ดำเนินการครบ","Error")))</f>
        <v>ดำเนินการ</v>
      </c>
      <c r="C21" s="327"/>
      <c r="D21" s="328"/>
      <c r="E21" s="329" t="str">
        <f>IF(J21="","",IF(OR(J21=0,J21=1,J21=2,J21=3,J21=4,J21=5,J21=6),"มีการดำเนินการ",IF(J21=7,"มีการดำเนินการครบ","Error")))</f>
        <v>มีการดำเนินการครบ</v>
      </c>
      <c r="F21" s="330"/>
      <c r="G21" s="330"/>
      <c r="H21" s="330"/>
      <c r="I21" s="330"/>
      <c r="J21" s="116">
        <v>7</v>
      </c>
      <c r="K21" s="331" t="str">
        <f>IF(J21="","",IF(OR(J21=1,J21=2,J21=3,J21=4,J21=5,J21=6),"ข้อ ได้แก่ข้อที่",IF(OR(J21=0,J21=7),"ข้อ","ใส่เลขผิด")))</f>
        <v>ข้อ</v>
      </c>
      <c r="L21" s="331"/>
      <c r="M21" s="332"/>
      <c r="N21" s="358">
        <f>IF(AND(C22="",J21="",E23=""),"",IF(OR(E23&lt;&gt;"",B21="Error"),"Error",IF(AND(OR(C22=1,C22=2,C22=3,C22=4,C22=5,C22=6,C22=7),OR(J21=0,J21=1,J21=2,J21=3,J21=4,J21=5,J21=6,J21=7)),LOOKUP(J21,{0,1,2,4,6,7},{0,1,2,3,4,5}),"Error")))</f>
        <v>5</v>
      </c>
      <c r="O21" s="424"/>
      <c r="P21" s="400" t="str">
        <f>IF(OR(C22="",B21="Error",E21="Error",E23&lt;&gt;""),"",IF(C22&lt;=J21,"ü","û"))</f>
        <v>ü</v>
      </c>
      <c r="Q21" s="401"/>
      <c r="R21" s="402"/>
      <c r="S21" s="287"/>
      <c r="T21" s="290">
        <f>IF(AND(C22="",J21&lt;&gt;""),"ต้องใส่จำนวนข้อเป้าหมาย",IF(AND(OR(C22="",C22=1,C22=2,C22=3,C22=4,C22=5,C22=6,C22=7),OR(J21="",J21=0,J21=1,J21=2,J21=3,J21=4,J21=5,J21=6,J21=7)),"",IF(AND(C22="",J21=""),"","ใส่เลขผิด")))</f>
      </c>
      <c r="U21" s="79"/>
      <c r="V21" s="79"/>
      <c r="W21" s="79"/>
      <c r="X21" s="79"/>
      <c r="Y21" s="80"/>
      <c r="Z21" s="124"/>
      <c r="AA21" s="124"/>
      <c r="AB21" s="124"/>
      <c r="AC21" s="124"/>
      <c r="AD21" s="124"/>
      <c r="AE21" s="51"/>
      <c r="BP21" s="65">
        <f>IF(AND(I22&lt;&gt;"",OR(E22=I22,F22=I22,G22=I22,H22=I22)),"ใส่เลขข้อซ้ำ",IF(AND(I22="",J22&lt;&gt;""),"space",IF(AND(J22&lt;&gt;"",I22&gt;J22),"ascending",IF(OR(I22="",I22=5,I22=6,I22=7),"","Error"))))</f>
      </c>
      <c r="BQ21" s="65">
        <f>IF(AND(J22&lt;&gt;"",OR(E22=J22,F22=J22,G22=J22,H22=J22,I22=J22)),"ใส่เลขข้อซ้ำ",IF(OR(J22="",J22=6,J22=7),"","Error"))</f>
      </c>
    </row>
    <row r="22" spans="1:72" ht="22.5" customHeight="1">
      <c r="A22" s="436"/>
      <c r="B22" s="81"/>
      <c r="C22" s="146">
        <v>4</v>
      </c>
      <c r="D22" s="74" t="str">
        <f>IF(C22="","",IF(OR(C22=1,C22=2,C22=3,C22=4,C22=5,C22=6,C22=7),"ข้อ",""))</f>
        <v>ข้อ</v>
      </c>
      <c r="E22" s="114"/>
      <c r="F22" s="115"/>
      <c r="G22" s="115"/>
      <c r="H22" s="115"/>
      <c r="I22" s="115"/>
      <c r="J22" s="115"/>
      <c r="K22" s="438"/>
      <c r="L22" s="438"/>
      <c r="M22" s="439"/>
      <c r="N22" s="359"/>
      <c r="O22" s="425"/>
      <c r="P22" s="403"/>
      <c r="Q22" s="404"/>
      <c r="R22" s="405"/>
      <c r="S22" s="345"/>
      <c r="T22" s="291"/>
      <c r="U22" s="79"/>
      <c r="V22" s="79"/>
      <c r="W22" s="79"/>
      <c r="X22" s="79"/>
      <c r="Y22" s="80"/>
      <c r="Z22" s="124"/>
      <c r="AA22" s="124"/>
      <c r="AB22" s="124"/>
      <c r="AC22" s="124"/>
      <c r="AD22" s="124"/>
      <c r="AE22" s="51"/>
      <c r="BP22" s="85">
        <f>IF(COUNTIF(BP20:BS20:BP21:BQ21,"Error")&gt;0,"Error","")</f>
      </c>
      <c r="BQ22" s="75">
        <f>COUNT(E22:J22)</f>
        <v>0</v>
      </c>
      <c r="BR22" s="421">
        <f>IF(COUNTIF(BP20,"incorrect")&gt;0,"ให้ใส่เป้าหมายและผลที่ดำเนินการได้ก่อน",IF(COUNTIF(BP20:BS20:BP21:BQ21,"space")&gt;0,"ให้ใส่เลขข้อโดยไม่ข้ามช่องว่าง",IF(COUNTIF(BP20:BS20:BP21:BQ21,"ascending")&gt;0,"ให้เรียงเลขข้อจากน้อยไปมาก",IF(COUNTIF(BQ20:BS20:BP21:BQ21,"ใส่เลขข้อซ้ำ")&gt;0,"ใส่เลขข้อซ้ำ",""))))</f>
      </c>
      <c r="BS22" s="422"/>
      <c r="BT22" s="423"/>
    </row>
    <row r="23" spans="1:71" ht="45" customHeight="1">
      <c r="A23" s="437"/>
      <c r="B23" s="365"/>
      <c r="C23" s="366"/>
      <c r="D23" s="367"/>
      <c r="E23" s="341">
        <f>IF(OR(B21="Error",E21="Error"),"",IF(AND(C22&lt;&gt;"",J21=""),"ให้ใส่จำนวนข้อที่ดำเนินการได้ทั้งหมด",IF(AND(J21=7,E22="",F22="",G22="",H22="",I22="",J22=""),"",IF(AND(OR(J21=0,J21=7),OR(E22&lt;&gt;"",F22&lt;&gt;"",G22&lt;&gt;"",H22&lt;&gt;"",I22&lt;&gt;"",J22&lt;&gt;"")),"ไม่ต้องใส่เลขข้อที่ได้ดำเนินการ",IF(AND(J21&lt;7,J21&gt;0,C22&lt;&gt;"",E22="",F22="",G22="",H22="",I22="",J22=""),"ใส่เลขข้อที่ได้ดำเนินการ",IF(BR22&lt;&gt;"",BR22,IF(BP22="Error","ใส่เลขผิด",IF(J21&lt;&gt;BQ22,"จำนวนข้อที่ดำเนินการไม่เท่ากับข้อที่ระบุ",""))))))))</f>
      </c>
      <c r="F23" s="342"/>
      <c r="G23" s="342"/>
      <c r="H23" s="342"/>
      <c r="I23" s="342"/>
      <c r="J23" s="342"/>
      <c r="K23" s="342"/>
      <c r="L23" s="342"/>
      <c r="M23" s="343"/>
      <c r="N23" s="360"/>
      <c r="O23" s="426"/>
      <c r="P23" s="406"/>
      <c r="Q23" s="407"/>
      <c r="R23" s="408"/>
      <c r="S23" s="288"/>
      <c r="T23" s="292"/>
      <c r="AE23" s="51"/>
      <c r="BP23" s="65">
        <f>IF(AND(E25="",F25="",G25="",H25="",I25="",J25=""),"",IF(AND(C25="",J24="",E25&lt;&gt;""),"incorrect",IF(AND(E25="",F25&lt;&gt;""),"space",IF(AND(F25&lt;&gt;"",E25&gt;F25),"ascending",IF(OR(E25="",E25=1,E25=2,E25=3,E25=4,E25=5,E25=6,E25=7),"","Error")))))</f>
      </c>
      <c r="BQ23" s="65">
        <f>IF(AND(F25&lt;&gt;"",E25=F25),"ใส่เลขข้อซ้ำ",IF(AND(F25="",G25&lt;&gt;""),"space",IF(AND(G25&lt;&gt;"",F25&gt;G25),"ascending",IF(OR(F25="",F25=2,F25=3,F25=4,F25=5,F25=6,F25=7),"","Error"))))</f>
      </c>
      <c r="BR23" s="65">
        <f>IF(AND(G25&lt;&gt;"",OR(E25=G25,F25=G25)),"ใส่เลขข้อซ้ำ",IF(AND(G25="",H25&lt;&gt;""),"space",IF(AND(H25&lt;&gt;"",G25&gt;H25),"ascending",IF(OR(G25="",G25=3,G25=4,G25=5,G25=6,G25=7),"","Error"))))</f>
      </c>
      <c r="BS23" s="65">
        <f>IF(AND(H25&lt;&gt;"",OR(E25=H25,F25=H25,G25=H25)),"ใส่เลขข้อซ้ำ",IF(AND(H25="",I25&lt;&gt;""),"space",IF(AND(I25&lt;&gt;"",H25&gt;I25),"ascending",IF(OR(H25="",H25=4,H25=5,H25=6,H25=7),"","Error"))))</f>
      </c>
    </row>
    <row r="24" spans="1:69" ht="22.5" customHeight="1">
      <c r="A24" s="443" t="s">
        <v>67</v>
      </c>
      <c r="B24" s="326" t="str">
        <f>IF(C25="","",IF(OR(C25=1,C25=2,C25=3,C25=4,C25=5,C25=6),"ดำเนินการ",IF(C25=7,"ดำเนินการครบ","Error")))</f>
        <v>ดำเนินการ</v>
      </c>
      <c r="C24" s="327"/>
      <c r="D24" s="328"/>
      <c r="E24" s="329" t="str">
        <f>IF(J24="","",IF(OR(J24=0,J24=1,J24=2,J24=3,J24=4,J24=5,J24=6),"มีการดำเนินการ",IF(J24=7,"มีการดำเนินการครบ","Error")))</f>
        <v>มีการดำเนินการ</v>
      </c>
      <c r="F24" s="330"/>
      <c r="G24" s="330"/>
      <c r="H24" s="330"/>
      <c r="I24" s="330"/>
      <c r="J24" s="116">
        <v>6</v>
      </c>
      <c r="K24" s="331" t="str">
        <f>IF(J24="","",IF(OR(J24=1,J24=2,J24=3,J24=4,J24=5,J24=6),"ข้อ ได้แก่ข้อที่",IF(OR(J24=0,J24=7),"ข้อ","ใส่เลขผิด")))</f>
        <v>ข้อ ได้แก่ข้อที่</v>
      </c>
      <c r="L24" s="331"/>
      <c r="M24" s="332"/>
      <c r="N24" s="358">
        <f>IF(AND(C25="",J24="",E26=""),"",IF(OR(E26&lt;&gt;"",B24="Error"),"Error",IF(AND(OR(C25=1,C25=2,C25=3,C25=4,C25=5,C25=6,C25=7),OR(J24=0,J24=1,J24=2,J24=3,J24=4,J24=5,J24=6,J24=7)),LOOKUP(J24,{0,1,2,4,6,7},{0,1,2,3,4,5}),"Error")))</f>
        <v>4</v>
      </c>
      <c r="O24" s="424"/>
      <c r="P24" s="400" t="str">
        <f>IF(OR(C25="",B24="Error",E24="Error",E26&lt;&gt;""),"",IF(C25&lt;=J24,"ü","û"))</f>
        <v>ü</v>
      </c>
      <c r="Q24" s="401"/>
      <c r="R24" s="402"/>
      <c r="S24" s="287"/>
      <c r="T24" s="290">
        <f>IF(AND(C25="",J24&lt;&gt;""),"ต้องใส่จำนวนข้อเป้าหมาย",IF(AND(OR(C25="",C25=1,C25=2,C25=3,C25=4,C25=5,C25=6,C25=7),OR(J24="",J24=0,J24=1,J24=2,J24=3,J24=4,J24=5,J24=6,J24=7)),"",IF(AND(C25="",J24=""),"","ใส่เลขผิด")))</f>
      </c>
      <c r="BP24" s="65">
        <f>IF(AND(I25&lt;&gt;"",OR(E25=I25,F25=I25,G25=I25,H25=I25)),"ใส่เลขข้อซ้ำ",IF(AND(I25="",J25&lt;&gt;""),"space",IF(AND(J25&lt;&gt;"",I25&gt;J25),"ascending",IF(OR(I25="",I25=5,I25=6,I25=7),"","Error"))))</f>
      </c>
      <c r="BQ24" s="65">
        <f>IF(AND(J25&lt;&gt;"",OR(E25=J25,F25=J25,G25=J25,H25=J25,I25=J25)),"ใส่เลขข้อซ้ำ",IF(OR(J25="",J25=6,J25=7),"","Error"))</f>
      </c>
    </row>
    <row r="25" spans="1:72" ht="45">
      <c r="A25" s="444"/>
      <c r="B25" s="81"/>
      <c r="C25" s="146">
        <v>4</v>
      </c>
      <c r="D25" s="74" t="str">
        <f>IF(C25="","",IF(OR(C25=1,C25=2,C25=3,C25=4,C25=5,C25=6,C25=7),"ข้อ",""))</f>
        <v>ข้อ</v>
      </c>
      <c r="E25" s="114">
        <v>1</v>
      </c>
      <c r="F25" s="115">
        <v>2</v>
      </c>
      <c r="G25" s="115">
        <v>3</v>
      </c>
      <c r="H25" s="115">
        <v>4</v>
      </c>
      <c r="I25" s="115">
        <v>5</v>
      </c>
      <c r="J25" s="115">
        <v>6</v>
      </c>
      <c r="K25" s="438"/>
      <c r="L25" s="438"/>
      <c r="M25" s="439"/>
      <c r="N25" s="359"/>
      <c r="O25" s="425"/>
      <c r="P25" s="403"/>
      <c r="Q25" s="404"/>
      <c r="R25" s="405"/>
      <c r="S25" s="345"/>
      <c r="T25" s="291"/>
      <c r="BP25" s="85">
        <f>IF(COUNTIF(BP23:BS23:BP24:BQ24,"Error")&gt;0,"Error","")</f>
      </c>
      <c r="BQ25" s="75">
        <f>COUNT(E25:J25)</f>
        <v>6</v>
      </c>
      <c r="BR25" s="421">
        <f>IF(COUNTIF(BP23,"incorrect")&gt;0,"ให้ใส่เป้าหมายและผลที่ดำเนินการได้ก่อน",IF(COUNTIF(BP23:BS23:BP24:BQ24,"space")&gt;0,"ให้ใส่เลขข้อโดยไม่ข้ามช่องว่าง",IF(COUNTIF(BP23:BS23:BP24:BQ24,"ascending")&gt;0,"ให้เรียงเลขข้อจากน้อยไปมาก",IF(COUNTIF(BQ23:BS23:BP24:BQ24,"ใส่เลขข้อซ้ำ")&gt;0,"ใส่เลขข้อซ้ำ",""))))</f>
      </c>
      <c r="BS25" s="422"/>
      <c r="BT25" s="423"/>
    </row>
    <row r="26" spans="1:71" ht="22.5" customHeight="1">
      <c r="A26" s="445"/>
      <c r="B26" s="365"/>
      <c r="C26" s="366"/>
      <c r="D26" s="367"/>
      <c r="E26" s="341">
        <f>IF(OR(B24="Error",E24="Error"),"",IF(AND(C25&lt;&gt;"",J24=""),"ให้ใส่จำนวนข้อที่ดำเนินการได้ทั้งหมด",IF(AND(J24=7,E25="",F25="",G25="",H25="",I25="",J25=""),"",IF(AND(OR(J24=0,J24=7),OR(E25&lt;&gt;"",F25&lt;&gt;"",G25&lt;&gt;"",H25&lt;&gt;"",I25&lt;&gt;"",J25&lt;&gt;"")),"ไม่ต้องใส่เลขข้อที่ได้ดำเนินการ",IF(AND(J24&lt;7,J24&gt;0,C25&lt;&gt;"",E25="",F25="",G25="",H25="",I25="",J25=""),"ใส่เลขข้อที่ได้ดำเนินการ",IF(BR25&lt;&gt;"",BR25,IF(BP25="Error","ใส่เลขผิด",IF(J24&lt;&gt;BQ25,"จำนวนข้อที่ดำเนินการไม่เท่ากับข้อที่ระบุ",""))))))))</f>
      </c>
      <c r="F26" s="342"/>
      <c r="G26" s="342"/>
      <c r="H26" s="342"/>
      <c r="I26" s="342"/>
      <c r="J26" s="342"/>
      <c r="K26" s="342"/>
      <c r="L26" s="342"/>
      <c r="M26" s="343"/>
      <c r="N26" s="360"/>
      <c r="O26" s="426"/>
      <c r="P26" s="406"/>
      <c r="Q26" s="407"/>
      <c r="R26" s="408"/>
      <c r="S26" s="288"/>
      <c r="T26" s="292"/>
      <c r="BP26" s="65">
        <f>IF(AND(E28="",F28="",G28="",H28=""),"",IF(AND(C28="",J27="",E28&lt;&gt;""),"incorrect",IF(AND(E28="",F28&lt;&gt;""),"space",IF(AND(F28&lt;&gt;"",E28&gt;F28),"ascending",IF(OR(E28="",E28=1,E28=2,E28=3,E28=4,E28=5),"","Error")))))</f>
      </c>
      <c r="BQ26" s="65">
        <f>IF(AND(F28&lt;&gt;"",E28=F28),"ใส่เลขข้อซ้ำ",IF(AND(F28="",G28&lt;&gt;""),"space",IF(AND(G28&lt;&gt;"",F28&gt;G28),"ascending",IF(OR(F28="",F28=2,F28=3,F28=4,F28=5),"","Error"))))</f>
      </c>
      <c r="BR26" s="65">
        <f>IF(AND(G28&lt;&gt;"",OR(E28=G28,F28=G28)),"ใส่เลขข้อซ้ำ",IF(AND(G28="",H28&lt;&gt;""),"space",IF(AND(H28&lt;&gt;"",G28&gt;H28),"ascending",IF(OR(G28="",G28=3,G28=4,G28=5),"","Error"))))</f>
      </c>
      <c r="BS26" s="65">
        <f>IF(AND(H28&lt;&gt;"",OR(E28=H28,F28=H28,G28=H28)),"ใส่เลขข้อซ้ำ",IF(OR(H28="",H28=4,H28=5),"","Error"))</f>
      </c>
    </row>
    <row r="27" spans="1:71" ht="22.5">
      <c r="A27" s="440" t="s">
        <v>68</v>
      </c>
      <c r="B27" s="326" t="str">
        <f>IF(C28="","",IF(OR(C28=1,C28=2,C28=3,C28=4),"ดำเนินการ",IF(C28=5,"ดำเนินการครบ","Error")))</f>
        <v>ดำเนินการ</v>
      </c>
      <c r="C27" s="327"/>
      <c r="D27" s="328"/>
      <c r="E27" s="329" t="str">
        <f>IF(J27="","",IF(OR(J27=0,J27=1,J27=2,J27=3,J27=4),"มีการดำเนินการ",IF(J27=5,"มีการดำเนินการครบ","Error")))</f>
        <v>มีการดำเนินการ</v>
      </c>
      <c r="F27" s="330"/>
      <c r="G27" s="330"/>
      <c r="H27" s="330"/>
      <c r="I27" s="330"/>
      <c r="J27" s="116">
        <v>4</v>
      </c>
      <c r="K27" s="331" t="str">
        <f>IF(J27="","",IF(OR(J27=1,J27=2,J27=3,J27=4),"ข้อ ได้แก่ข้อที่",IF(OR(J27=0,J27=5),"ข้อ","ใส่เลขผิด")))</f>
        <v>ข้อ ได้แก่ข้อที่</v>
      </c>
      <c r="L27" s="331"/>
      <c r="M27" s="332"/>
      <c r="N27" s="358">
        <f>IF(AND(C28="",J27="",E29=""),"",IF(OR(E29&lt;&gt;"",B27="Error"),"Error",IF(AND(OR(C28=1,C28=2,C28=3,C28=4,C28=5),OR(J27=0,J27=1,J27=2,J27=3,J27=4,J27=5)),LOOKUP(J27,{0,1,2,3,4,5},{0,1,2,3,4,5}),"Error")))</f>
        <v>4</v>
      </c>
      <c r="O27" s="424"/>
      <c r="P27" s="400" t="str">
        <f>IF(OR(C28="",B27="Error",E27="Error",E29&lt;&gt;""),"",IF(C28&lt;=J27,"ü","û"))</f>
        <v>ü</v>
      </c>
      <c r="Q27" s="401"/>
      <c r="R27" s="402"/>
      <c r="S27" s="287"/>
      <c r="T27" s="290">
        <f>IF(AND(C28="",J27&lt;&gt;""),"ต้องใส่จำนวนข้อเป้าหมาย",IF(AND(OR(C28="",C28=1,C28=2,C28=3,C28=4,C28=5),OR(J27="",J27=0,J27=1,J27=2,J27=3,J27=4,J27=5)),"",IF(AND(C28="",J27=""),"","ใส่เลขผิด")))</f>
      </c>
      <c r="AG27" s="124"/>
      <c r="BP27" s="85">
        <f>IF(COUNTIF(BP26:BS26,"Error")&gt;0,"Error","")</f>
      </c>
      <c r="BQ27" s="67">
        <f>COUNT(E28:H28)</f>
        <v>4</v>
      </c>
      <c r="BR27" s="446">
        <f>IF(COUNTIF(BP26,"incorrect")&gt;0,"ให้ใส่เป้าหมายและผลที่ดำเนินการได้ก่อน",IF(COUNTIF(BP26:BS26,"space")&gt;0,"ให้ใส่เลขข้อโดยไม่ข้ามช่องว่าง",IF(COUNTIF(BP26:BS26,"ascending")&gt;0,"ให้เรียงเลขข้อจากน้อยไปมาก",IF(COUNTIF(BQ26:BS26,"ใส่เลขข้อซ้ำ")&gt;0,"ใส่เลขข้อซ้ำ",""))))</f>
      </c>
      <c r="BS27" s="446"/>
    </row>
    <row r="28" spans="1:73" ht="22.5" customHeight="1">
      <c r="A28" s="441"/>
      <c r="B28" s="81"/>
      <c r="C28" s="146">
        <v>4</v>
      </c>
      <c r="D28" s="74" t="str">
        <f>IF(C28="","",IF(OR(C28=1,C28=2,C28=3,C28=4,C28=5),"ข้อ",""))</f>
        <v>ข้อ</v>
      </c>
      <c r="E28" s="114">
        <v>1</v>
      </c>
      <c r="F28" s="115">
        <v>2</v>
      </c>
      <c r="G28" s="115">
        <v>3</v>
      </c>
      <c r="H28" s="115">
        <v>5</v>
      </c>
      <c r="I28" s="363"/>
      <c r="J28" s="363"/>
      <c r="K28" s="363"/>
      <c r="L28" s="363"/>
      <c r="M28" s="364"/>
      <c r="N28" s="359"/>
      <c r="O28" s="425"/>
      <c r="P28" s="403"/>
      <c r="Q28" s="404"/>
      <c r="R28" s="405"/>
      <c r="S28" s="345"/>
      <c r="T28" s="291"/>
      <c r="AC28" s="124"/>
      <c r="AD28" s="124"/>
      <c r="AE28" s="124"/>
      <c r="AF28" s="124"/>
      <c r="BP28" s="104"/>
      <c r="BQ28" s="104"/>
      <c r="BR28" s="104"/>
      <c r="BS28" s="447"/>
      <c r="BT28" s="447"/>
      <c r="BU28" s="447"/>
    </row>
    <row r="29" spans="1:71" ht="67.5" customHeight="1">
      <c r="A29" s="442"/>
      <c r="B29" s="365"/>
      <c r="C29" s="366"/>
      <c r="D29" s="367"/>
      <c r="E29" s="341">
        <f>IF(OR(B27="Error",E27="Error"),"",IF(AND(C28&lt;&gt;"",J27=""),"ให้ใส่จำนวนข้อที่ดำเนินการได้ทั้งหมด",IF(AND(J27=5,E28="",F28="",G28="",H28=""),"",IF(AND(OR(J27=0,J27=5),OR(E28&lt;&gt;"",F28&lt;&gt;"",G28&lt;&gt;"",H28&lt;&gt;"")),"ไม่ต้องใส่เลขข้อที่ได้ดำเนินการ",IF(AND(J27&lt;5,J27&gt;0,C28&lt;&gt;"",E28="",F28="",G28="",H28=""),"ใส่เลขข้อที่ได้ดำเนินการ",IF(BR27&lt;&gt;"",BR27,IF(BP27="Error","ใส่เลขผิด",IF(J27&lt;&gt;BQ27,"จำนวนข้อที่ดำเนินการไม่เท่ากับข้อที่ระบุ",""))))))))</f>
      </c>
      <c r="F29" s="342"/>
      <c r="G29" s="342"/>
      <c r="H29" s="342"/>
      <c r="I29" s="342"/>
      <c r="J29" s="342"/>
      <c r="K29" s="342"/>
      <c r="L29" s="342"/>
      <c r="M29" s="343"/>
      <c r="N29" s="360"/>
      <c r="O29" s="426"/>
      <c r="P29" s="406"/>
      <c r="Q29" s="407"/>
      <c r="R29" s="408"/>
      <c r="S29" s="288"/>
      <c r="T29" s="292"/>
      <c r="BP29" s="65">
        <f>IF(AND(E31="",F31="",G31="",H31=""),"",IF(AND(C31="",J30="",E31&lt;&gt;""),"incorrect",IF(AND(E31="",F31&lt;&gt;""),"space",IF(AND(F31&lt;&gt;"",E31&gt;F31),"ascending",IF(OR(E31="",E31=1,E31=2,E31=3,E31=4,E31=5),"","Error")))))</f>
      </c>
      <c r="BQ29" s="65">
        <f>IF(AND(F31&lt;&gt;"",E31=F31),"ใส่เลขข้อซ้ำ",IF(AND(F31="",G31&lt;&gt;""),"space",IF(AND(G31&lt;&gt;"",F31&gt;G31),"ascending",IF(OR(F31="",F31=2,F31=3,F31=4,F31=5),"","Error"))))</f>
      </c>
      <c r="BR29" s="65">
        <f>IF(AND(G31&lt;&gt;"",OR(E31=G31,F31=G31)),"ใส่เลขข้อซ้ำ",IF(AND(G31="",H31&lt;&gt;""),"space",IF(AND(H31&lt;&gt;"",G31&gt;H31),"ascending",IF(OR(G31="",G31=3,G31=4,G31=5),"","Error"))))</f>
      </c>
      <c r="BS29" s="65">
        <f>IF(AND(H31&lt;&gt;"",OR(E31=H31,F31=H31,G31=H31)),"ใส่เลขข้อซ้ำ",IF(OR(H31="",H31=4,H31=5),"","Error"))</f>
      </c>
    </row>
    <row r="30" spans="1:71" ht="22.5" customHeight="1">
      <c r="A30" s="440" t="s">
        <v>69</v>
      </c>
      <c r="B30" s="326" t="str">
        <f>IF(C31="","",IF(OR(C31=1,C31=2,C31=3,C31=4),"ดำเนินการ",IF(C31=5,"ดำเนินการครบ","Error")))</f>
        <v>ดำเนินการ</v>
      </c>
      <c r="C30" s="327"/>
      <c r="D30" s="328"/>
      <c r="E30" s="329" t="str">
        <f>IF(J30="","",IF(OR(J30=0,J30=1,J30=2,J30=3,J30=4),"มีการดำเนินการ",IF(J30=5,"มีการดำเนินการครบ","Error")))</f>
        <v>มีการดำเนินการ</v>
      </c>
      <c r="F30" s="330"/>
      <c r="G30" s="330"/>
      <c r="H30" s="330"/>
      <c r="I30" s="330"/>
      <c r="J30" s="116">
        <v>4</v>
      </c>
      <c r="K30" s="331" t="str">
        <f>IF(J30="","",IF(OR(J30=1,J30=2,J30=3,J30=4),"ข้อ ได้แก่ข้อที่",IF(OR(J30=0,J30=5),"ข้อ","ใส่เลขผิด")))</f>
        <v>ข้อ ได้แก่ข้อที่</v>
      </c>
      <c r="L30" s="331"/>
      <c r="M30" s="332"/>
      <c r="N30" s="358">
        <f>IF(AND(C31="",J30="",E32=""),"",IF(OR(E32&lt;&gt;"",B30="Error"),"Error",IF(AND(OR(C31=1,C31=2,C31=3,C31=4,C31=5),OR(J30=0,J30=1,J30=2,J30=3,J30=4,J30=5)),LOOKUP(J30,{0,1,2,3,4,5},{0,1,2,3,4,5}),"Error")))</f>
        <v>4</v>
      </c>
      <c r="O30" s="454"/>
      <c r="P30" s="400" t="str">
        <f>IF(OR(C31="",B30="Error",E30="Error",E32&lt;&gt;""),"",IF(C31&lt;=J30,"ü","û"))</f>
        <v>ü</v>
      </c>
      <c r="Q30" s="401"/>
      <c r="R30" s="402"/>
      <c r="S30" s="287"/>
      <c r="T30" s="290">
        <f>IF(AND(C31="",J30&lt;&gt;""),"ต้องใส่จำนวนข้อเป้าหมาย",IF(AND(OR(C31="",C31=1,C31=2,C31=3,C31=4,C31=5),OR(J30="",J30=0,J30=1,J30=2,J30=3,J30=4,J30=5)),"",IF(AND(C31="",J30=""),"","ใส่เลขผิด")))</f>
      </c>
      <c r="BP30" s="85">
        <f>IF(COUNTIF(BP29:BS29,"Error")&gt;0,"Error","")</f>
      </c>
      <c r="BQ30" s="67">
        <f>COUNT(E31:H31)</f>
        <v>4</v>
      </c>
      <c r="BR30" s="446">
        <f>IF(COUNTIF(BP29,"incorrect")&gt;0,"ให้ใส่เป้าหมายและผลที่ดำเนินการได้ก่อน",IF(COUNTIF(BP29:BS29,"space")&gt;0,"ให้ใส่เลขข้อโดยไม่ข้ามช่องว่าง",IF(COUNTIF(BP29:BS29,"ascending")&gt;0,"ให้เรียงเลขข้อจากน้อยไปมาก",IF(COUNTIF(BQ29:BS29,"ใส่เลขข้อซ้ำ")&gt;0,"ใส่เลขข้อซ้ำ",""))))</f>
      </c>
      <c r="BS30" s="446"/>
    </row>
    <row r="31" spans="1:20" ht="22.5" customHeight="1">
      <c r="A31" s="441"/>
      <c r="B31" s="81"/>
      <c r="C31" s="146">
        <v>3</v>
      </c>
      <c r="D31" s="74" t="str">
        <f>IF(C31="","",IF(OR(C31=1,C31=2,C31=3,C31=4,C31=5),"ข้อ",""))</f>
        <v>ข้อ</v>
      </c>
      <c r="E31" s="114">
        <v>1</v>
      </c>
      <c r="F31" s="115">
        <v>2</v>
      </c>
      <c r="G31" s="115">
        <v>3</v>
      </c>
      <c r="H31" s="115">
        <v>4</v>
      </c>
      <c r="I31" s="363"/>
      <c r="J31" s="363"/>
      <c r="K31" s="363"/>
      <c r="L31" s="363"/>
      <c r="M31" s="364"/>
      <c r="N31" s="359"/>
      <c r="O31" s="425"/>
      <c r="P31" s="403"/>
      <c r="Q31" s="404"/>
      <c r="R31" s="405"/>
      <c r="S31" s="345"/>
      <c r="T31" s="291"/>
    </row>
    <row r="32" spans="1:71" ht="67.5" customHeight="1">
      <c r="A32" s="442"/>
      <c r="B32" s="365"/>
      <c r="C32" s="366"/>
      <c r="D32" s="367"/>
      <c r="E32" s="341">
        <f>IF(OR(B30="Error",E30="Error"),"",IF(AND(C31&lt;&gt;"",J30=""),"ให้ใส่จำนวนข้อที่ดำเนินการได้ทั้งหมด",IF(AND(J30=5,E31="",F31="",G31="",H31=""),"",IF(AND(OR(J30=0,J30=5),OR(E31&lt;&gt;"",F31&lt;&gt;"",G31&lt;&gt;"",H31&lt;&gt;"")),"ไม่ต้องใส่เลขข้อที่ได้ดำเนินการ",IF(AND(J30&lt;5,J30&gt;0,C31&lt;&gt;"",E31="",F31="",G31="",H31=""),"ใส่เลขข้อที่ได้ดำเนินการ",IF(BR30&lt;&gt;"",BR30,IF(BP30="Error","ใส่เลขผิด",IF(J30&lt;&gt;BQ30,"จำนวนข้อที่ดำเนินการไม่เท่ากับข้อที่ระบุ",""))))))))</f>
      </c>
      <c r="F32" s="342"/>
      <c r="G32" s="342"/>
      <c r="H32" s="342"/>
      <c r="I32" s="342"/>
      <c r="J32" s="342"/>
      <c r="K32" s="342"/>
      <c r="L32" s="342"/>
      <c r="M32" s="343"/>
      <c r="N32" s="360"/>
      <c r="O32" s="426"/>
      <c r="P32" s="406"/>
      <c r="Q32" s="407"/>
      <c r="R32" s="408"/>
      <c r="S32" s="288"/>
      <c r="T32" s="292"/>
      <c r="X32" s="125">
        <f>IF(OR(X45=1,X45=2),"","ใส่ข้อมูลในช่อง N16 ไม่ถูกต้อง")</f>
      </c>
      <c r="Y32" s="126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80"/>
      <c r="BS32" s="80"/>
    </row>
    <row r="33" spans="1:71" ht="22.5" customHeight="1">
      <c r="A33" s="323" t="s">
        <v>135</v>
      </c>
      <c r="B33" s="560">
        <v>90</v>
      </c>
      <c r="C33" s="561"/>
      <c r="D33" s="562"/>
      <c r="E33" s="549"/>
      <c r="F33" s="550"/>
      <c r="G33" s="550"/>
      <c r="H33" s="550"/>
      <c r="I33" s="551"/>
      <c r="J33" s="448"/>
      <c r="K33" s="449"/>
      <c r="L33" s="449"/>
      <c r="M33" s="450"/>
      <c r="N33" s="572"/>
      <c r="O33" s="454"/>
      <c r="P33" s="483"/>
      <c r="Q33" s="484"/>
      <c r="R33" s="485"/>
      <c r="S33" s="287"/>
      <c r="T33" s="290"/>
      <c r="U33" s="135"/>
      <c r="V33" s="136"/>
      <c r="W33" s="136"/>
      <c r="X33" s="136"/>
      <c r="Y33" s="137"/>
      <c r="Z33" s="137"/>
      <c r="AA33" s="137"/>
      <c r="AB33" s="137"/>
      <c r="AC33" s="137"/>
      <c r="AD33" s="138"/>
      <c r="AE33" s="51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80"/>
      <c r="BS33" s="80"/>
    </row>
    <row r="34" spans="1:71" ht="22.5" customHeight="1">
      <c r="A34" s="325"/>
      <c r="B34" s="563"/>
      <c r="C34" s="564"/>
      <c r="D34" s="565"/>
      <c r="E34" s="549"/>
      <c r="F34" s="550"/>
      <c r="G34" s="550"/>
      <c r="H34" s="550"/>
      <c r="I34" s="551"/>
      <c r="J34" s="451"/>
      <c r="K34" s="452"/>
      <c r="L34" s="452"/>
      <c r="M34" s="453"/>
      <c r="N34" s="573"/>
      <c r="O34" s="426"/>
      <c r="P34" s="486"/>
      <c r="Q34" s="487"/>
      <c r="R34" s="488"/>
      <c r="S34" s="288"/>
      <c r="T34" s="292"/>
      <c r="U34" s="135"/>
      <c r="V34" s="136"/>
      <c r="W34" s="136"/>
      <c r="X34" s="136"/>
      <c r="Y34" s="137"/>
      <c r="Z34" s="137"/>
      <c r="AA34" s="137"/>
      <c r="AB34" s="137"/>
      <c r="AC34" s="137"/>
      <c r="AD34" s="138"/>
      <c r="AE34" s="51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80"/>
      <c r="BS34" s="80"/>
    </row>
    <row r="35" spans="1:71" ht="22.5" customHeight="1">
      <c r="A35" s="323" t="s">
        <v>136</v>
      </c>
      <c r="B35" s="560">
        <v>3.51</v>
      </c>
      <c r="C35" s="561"/>
      <c r="D35" s="562"/>
      <c r="E35" s="549"/>
      <c r="F35" s="550"/>
      <c r="G35" s="550"/>
      <c r="H35" s="550"/>
      <c r="I35" s="551"/>
      <c r="J35" s="448"/>
      <c r="K35" s="449"/>
      <c r="L35" s="449"/>
      <c r="M35" s="450"/>
      <c r="N35" s="572"/>
      <c r="O35" s="454"/>
      <c r="P35" s="483"/>
      <c r="Q35" s="484"/>
      <c r="R35" s="485"/>
      <c r="S35" s="287"/>
      <c r="T35" s="290"/>
      <c r="U35" s="135"/>
      <c r="V35" s="136"/>
      <c r="W35" s="136"/>
      <c r="X35" s="136"/>
      <c r="Y35" s="137"/>
      <c r="Z35" s="137"/>
      <c r="AA35" s="137"/>
      <c r="AB35" s="137"/>
      <c r="AC35" s="137"/>
      <c r="AD35" s="138"/>
      <c r="AE35" s="51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80"/>
      <c r="BS35" s="80"/>
    </row>
    <row r="36" spans="1:71" ht="22.5" customHeight="1">
      <c r="A36" s="325"/>
      <c r="B36" s="563"/>
      <c r="C36" s="564"/>
      <c r="D36" s="565"/>
      <c r="E36" s="549"/>
      <c r="F36" s="550"/>
      <c r="G36" s="550"/>
      <c r="H36" s="550"/>
      <c r="I36" s="551"/>
      <c r="J36" s="451"/>
      <c r="K36" s="452"/>
      <c r="L36" s="452"/>
      <c r="M36" s="453"/>
      <c r="N36" s="573"/>
      <c r="O36" s="426"/>
      <c r="P36" s="486"/>
      <c r="Q36" s="487"/>
      <c r="R36" s="488"/>
      <c r="S36" s="288"/>
      <c r="T36" s="292"/>
      <c r="U36" s="135"/>
      <c r="V36" s="136"/>
      <c r="W36" s="136"/>
      <c r="X36" s="136"/>
      <c r="Y36" s="137"/>
      <c r="Z36" s="137"/>
      <c r="AA36" s="137"/>
      <c r="AB36" s="137"/>
      <c r="AC36" s="137"/>
      <c r="AD36" s="138"/>
      <c r="AE36" s="51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80"/>
      <c r="BS36" s="80"/>
    </row>
    <row r="37" spans="1:71" ht="22.5" customHeight="1">
      <c r="A37" s="323" t="s">
        <v>137</v>
      </c>
      <c r="B37" s="560">
        <v>10</v>
      </c>
      <c r="C37" s="561"/>
      <c r="D37" s="562"/>
      <c r="E37" s="549"/>
      <c r="F37" s="550"/>
      <c r="G37" s="550"/>
      <c r="H37" s="550"/>
      <c r="I37" s="551"/>
      <c r="J37" s="448"/>
      <c r="K37" s="449"/>
      <c r="L37" s="449"/>
      <c r="M37" s="450"/>
      <c r="N37" s="572"/>
      <c r="O37" s="454"/>
      <c r="P37" s="483"/>
      <c r="Q37" s="484"/>
      <c r="R37" s="485"/>
      <c r="S37" s="287"/>
      <c r="T37" s="290"/>
      <c r="U37" s="135"/>
      <c r="V37" s="136"/>
      <c r="W37" s="136"/>
      <c r="X37" s="136"/>
      <c r="Y37" s="137"/>
      <c r="Z37" s="137"/>
      <c r="AA37" s="137"/>
      <c r="AB37" s="137"/>
      <c r="AC37" s="137"/>
      <c r="AD37" s="138"/>
      <c r="AE37" s="51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80"/>
      <c r="BS37" s="80"/>
    </row>
    <row r="38" spans="1:71" ht="22.5" customHeight="1">
      <c r="A38" s="325"/>
      <c r="B38" s="563"/>
      <c r="C38" s="564"/>
      <c r="D38" s="565"/>
      <c r="E38" s="549"/>
      <c r="F38" s="550"/>
      <c r="G38" s="550"/>
      <c r="H38" s="550"/>
      <c r="I38" s="551"/>
      <c r="J38" s="451"/>
      <c r="K38" s="452"/>
      <c r="L38" s="452"/>
      <c r="M38" s="453"/>
      <c r="N38" s="573"/>
      <c r="O38" s="426"/>
      <c r="P38" s="486"/>
      <c r="Q38" s="487"/>
      <c r="R38" s="488"/>
      <c r="S38" s="288"/>
      <c r="T38" s="292"/>
      <c r="U38" s="135"/>
      <c r="V38" s="136"/>
      <c r="W38" s="136"/>
      <c r="X38" s="136"/>
      <c r="Y38" s="137"/>
      <c r="Z38" s="137"/>
      <c r="AA38" s="137"/>
      <c r="AB38" s="137"/>
      <c r="AC38" s="137"/>
      <c r="AD38" s="138"/>
      <c r="AE38" s="51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80"/>
      <c r="BS38" s="80"/>
    </row>
    <row r="39" spans="1:71" ht="22.5" customHeight="1">
      <c r="A39" s="323" t="s">
        <v>138</v>
      </c>
      <c r="B39" s="566">
        <v>4</v>
      </c>
      <c r="C39" s="567"/>
      <c r="D39" s="568"/>
      <c r="E39" s="549"/>
      <c r="F39" s="550"/>
      <c r="G39" s="550"/>
      <c r="H39" s="550"/>
      <c r="I39" s="551"/>
      <c r="J39" s="448"/>
      <c r="K39" s="449"/>
      <c r="L39" s="449"/>
      <c r="M39" s="450"/>
      <c r="N39" s="572"/>
      <c r="O39" s="454"/>
      <c r="P39" s="483"/>
      <c r="Q39" s="484"/>
      <c r="R39" s="485"/>
      <c r="S39" s="287"/>
      <c r="T39" s="290"/>
      <c r="U39" s="135"/>
      <c r="V39" s="136"/>
      <c r="W39" s="136"/>
      <c r="X39" s="136"/>
      <c r="Y39" s="137"/>
      <c r="Z39" s="137"/>
      <c r="AA39" s="137"/>
      <c r="AB39" s="137"/>
      <c r="AC39" s="137"/>
      <c r="AD39" s="138"/>
      <c r="AE39" s="51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80"/>
      <c r="BS39" s="80"/>
    </row>
    <row r="40" spans="1:71" ht="22.5" customHeight="1">
      <c r="A40" s="325"/>
      <c r="B40" s="569"/>
      <c r="C40" s="570"/>
      <c r="D40" s="571"/>
      <c r="E40" s="549"/>
      <c r="F40" s="550"/>
      <c r="G40" s="550"/>
      <c r="H40" s="550"/>
      <c r="I40" s="551"/>
      <c r="J40" s="451"/>
      <c r="K40" s="452"/>
      <c r="L40" s="452"/>
      <c r="M40" s="453"/>
      <c r="N40" s="573"/>
      <c r="O40" s="426"/>
      <c r="P40" s="486"/>
      <c r="Q40" s="487"/>
      <c r="R40" s="488"/>
      <c r="S40" s="288"/>
      <c r="T40" s="292"/>
      <c r="U40" s="135"/>
      <c r="V40" s="136"/>
      <c r="W40" s="136"/>
      <c r="X40" s="136"/>
      <c r="Y40" s="137"/>
      <c r="Z40" s="137"/>
      <c r="AA40" s="137"/>
      <c r="AB40" s="137"/>
      <c r="AC40" s="137"/>
      <c r="AD40" s="138"/>
      <c r="AE40" s="51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80"/>
      <c r="BS40" s="80"/>
    </row>
    <row r="41" spans="1:71" ht="22.5" customHeight="1">
      <c r="A41" s="131" t="s">
        <v>139</v>
      </c>
      <c r="B41" s="518">
        <v>3</v>
      </c>
      <c r="C41" s="519"/>
      <c r="D41" s="520"/>
      <c r="E41" s="549"/>
      <c r="F41" s="550"/>
      <c r="G41" s="550"/>
      <c r="H41" s="550"/>
      <c r="I41" s="550"/>
      <c r="J41" s="550"/>
      <c r="K41" s="550"/>
      <c r="L41" s="550"/>
      <c r="M41" s="551"/>
      <c r="N41" s="188"/>
      <c r="O41" s="281"/>
      <c r="P41" s="557"/>
      <c r="Q41" s="558"/>
      <c r="R41" s="559"/>
      <c r="S41" s="151"/>
      <c r="T41" s="108"/>
      <c r="U41" s="135"/>
      <c r="V41" s="136"/>
      <c r="W41" s="136"/>
      <c r="X41" s="136"/>
      <c r="Y41" s="137"/>
      <c r="Z41" s="137"/>
      <c r="AA41" s="137"/>
      <c r="AB41" s="137"/>
      <c r="AC41" s="137"/>
      <c r="AD41" s="138"/>
      <c r="AE41" s="51"/>
      <c r="AF41" s="139"/>
      <c r="BP41" s="65">
        <f>IF(AND(E43="",F43="",G43="",H43="",I43="",J43=""),"",IF(AND(C43="",J42="",E43&lt;&gt;""),"incorrect",IF(AND(E43="",F43&lt;&gt;""),"space",IF(AND(F43&lt;&gt;"",E43&gt;F43),"ascending",IF(OR(E43="",E43=1,E43=2,E43=3,E43=4,E43=5,E43=6,E43=7),"","Error")))))</f>
      </c>
      <c r="BQ41" s="65">
        <f>IF(AND(F43&lt;&gt;"",E43=F43),"ใส่เลขข้อซ้ำ",IF(AND(F43="",G43&lt;&gt;""),"space",IF(AND(G43&lt;&gt;"",F43&gt;G43),"ascending",IF(OR(F43="",F43=2,F43=3,F43=4,F43=5,F43=6,F43=7),"","Error"))))</f>
      </c>
      <c r="BR41" s="65">
        <f>IF(AND(G43&lt;&gt;"",OR(E43=G43,F43=G43)),"ใส่เลขข้อซ้ำ",IF(AND(G43="",H43&lt;&gt;""),"space",IF(AND(H43&lt;&gt;"",G43&gt;H43),"ascending",IF(OR(G43="",G43=3,G43=4,G43=5,G43=6,G43=7),"","Error"))))</f>
      </c>
      <c r="BS41" s="65">
        <f>IF(AND(H43&lt;&gt;"",OR(E43=H43,F43=H43,G43=H43)),"ใส่เลขข้อซ้ำ",IF(AND(H43="",I43&lt;&gt;""),"space",IF(AND(I43&lt;&gt;"",H43&gt;I43),"ascending",IF(OR(H43="",H43=4,H43=5,H43=6,H43=7),"","Error"))))</f>
      </c>
    </row>
    <row r="42" spans="1:69" ht="22.5" customHeight="1">
      <c r="A42" s="455" t="s">
        <v>158</v>
      </c>
      <c r="B42" s="457" t="str">
        <f>IF(C43="","",IF(OR(C43=1,C43=2,C43=3,C43=4,C43=5,C43=6),"ดำเนินการ",IF(C43=7,"ดำเนินการครบ","Error")))</f>
        <v>ดำเนินการ</v>
      </c>
      <c r="C42" s="458"/>
      <c r="D42" s="459"/>
      <c r="E42" s="460" t="str">
        <f>IF(J42="","",IF(OR(J42=0,J42=1,J42=2,J42=3,J42=4,J42=5,J42=6),"มีการดำเนินการ",IF(J42=7,"มีการดำเนินการครบ","Error")))</f>
        <v>มีการดำเนินการครบ</v>
      </c>
      <c r="F42" s="461"/>
      <c r="G42" s="461"/>
      <c r="H42" s="461"/>
      <c r="I42" s="461"/>
      <c r="J42" s="115">
        <v>7</v>
      </c>
      <c r="K42" s="462" t="str">
        <f>IF(J42="","",IF(OR(J42=1,J42=2,J42=3,J42=4,J42=5,J42=6),"ข้อ ได้แก่ข้อที่",IF(OR(J42=0,J42=7),"ข้อ","ใส่เลขผิด")))</f>
        <v>ข้อ</v>
      </c>
      <c r="L42" s="462"/>
      <c r="M42" s="463"/>
      <c r="N42" s="359">
        <f>IF(AND(C43="",J42="",E44=""),"",IF(OR(E44&lt;&gt;"",B42="Error"),"Error",IF(AND(OR(C43=1,C43=2,C43=3,C43=4,C43=5,C43=6,C43=7),OR(J42=0,J42=1,J42=2,J42=3,J42=4,J42=5,J42=6,J42=7)),LOOKUP(J42,{0,1,2,4,6,7},{0,1,2,3,4,5}),"Error")))</f>
        <v>5</v>
      </c>
      <c r="O42" s="425"/>
      <c r="P42" s="403" t="str">
        <f>IF(OR(C43="",B42="Error",E42="Error",E44&lt;&gt;""),"",IF(C43&lt;=J42,"ü","û"))</f>
        <v>ü</v>
      </c>
      <c r="Q42" s="404"/>
      <c r="R42" s="405"/>
      <c r="S42" s="287"/>
      <c r="T42" s="291">
        <f>IF(AND(C43="",J42&lt;&gt;""),"ต้องใส่จำนวนข้อเป้าหมาย",IF(AND(OR(C43="",C43=1,C43=2,C43=3,C43=4,C43=5,C43=6,C43=7),OR(J42="",J42=0,J42=1,J42=2,J42=3,J42=4,J42=5,J42=6,J42=7)),"",IF(AND(C43="",J42=""),"","ใส่เลขผิด")))</f>
      </c>
      <c r="X42" s="125"/>
      <c r="Y42" s="126"/>
      <c r="BP42" s="65">
        <f>IF(AND(I43&lt;&gt;"",OR(E43=I43,F43=I43,G43=I43,H43=I43)),"ใส่เลขข้อซ้ำ",IF(AND(I43="",J43&lt;&gt;""),"space",IF(AND(J43&lt;&gt;"",I43&gt;J43),"ascending",IF(OR(I43="",I43=5,I43=6,I43=7),"","Error"))))</f>
      </c>
      <c r="BQ42" s="65">
        <f>IF(AND(J43&lt;&gt;"",OR(E43=J43,F43=J43,G43=J43,H43=J43,I43=J43)),"ใส่เลขข้อซ้ำ",IF(OR(J43="",J43=6,J43=7),"","Error"))</f>
      </c>
    </row>
    <row r="43" spans="1:72" ht="22.5" customHeight="1">
      <c r="A43" s="455"/>
      <c r="B43" s="81"/>
      <c r="C43" s="146">
        <v>5</v>
      </c>
      <c r="D43" s="74" t="str">
        <f>IF(C43="","",IF(OR(C43=1,C43=2,C43=3,C43=4,C43=5,C43=6,C43=7),"ข้อ",""))</f>
        <v>ข้อ</v>
      </c>
      <c r="E43" s="114"/>
      <c r="F43" s="115"/>
      <c r="G43" s="115"/>
      <c r="H43" s="115"/>
      <c r="I43" s="115"/>
      <c r="J43" s="115"/>
      <c r="K43" s="438"/>
      <c r="L43" s="438"/>
      <c r="M43" s="439"/>
      <c r="N43" s="359"/>
      <c r="O43" s="425"/>
      <c r="P43" s="403"/>
      <c r="Q43" s="404"/>
      <c r="R43" s="405"/>
      <c r="S43" s="345"/>
      <c r="T43" s="291"/>
      <c r="X43" s="125"/>
      <c r="Y43" s="126"/>
      <c r="BP43" s="85">
        <f>IF(COUNTIF(BP41:BS41:BP42:BQ42,"Error")&gt;0,"Error","")</f>
      </c>
      <c r="BQ43" s="75">
        <f>COUNT(E43:J43)</f>
        <v>0</v>
      </c>
      <c r="BR43" s="421">
        <f>IF(COUNTIF(BP41,"incorrect")&gt;0,"ให้ใส่เป้าหมายและผลที่ดำเนินการได้ก่อน",IF(COUNTIF(BP41:BS41:BP42:BQ42,"space")&gt;0,"ให้ใส่เลขข้อโดยไม่ข้ามช่องว่าง",IF(COUNTIF(BP41:BS41:BP42:BQ42,"ascending")&gt;0,"ให้เรียงเลขข้อจากน้อยไปมาก",IF(COUNTIF(BQ41:BS41:BP42:BQ42,"ใส่เลขข้อซ้ำ")&gt;0,"ใส่เลขข้อซ้ำ",""))))</f>
      </c>
      <c r="BS43" s="422"/>
      <c r="BT43" s="423"/>
    </row>
    <row r="44" spans="1:71" ht="45" customHeight="1">
      <c r="A44" s="456"/>
      <c r="B44" s="365"/>
      <c r="C44" s="366"/>
      <c r="D44" s="367"/>
      <c r="E44" s="341">
        <f>IF(OR(B42="Error",E42="Error"),"",IF(AND(C43&lt;&gt;"",J42=""),"ให้ใส่จำนวนข้อที่ดำเนินการได้ทั้งหมด",IF(AND(J42=7,E43="",F43="",G43="",H43="",I43="",J43=""),"",IF(AND(OR(J42=0,J42=7),OR(E43&lt;&gt;"",F43&lt;&gt;"",G43&lt;&gt;"",H43&lt;&gt;"",I43&lt;&gt;"",J43&lt;&gt;"")),"ไม่ต้องใส่เลขข้อที่ได้ดำเนินการ",IF(AND(J42&lt;7,J42&gt;0,C43&lt;&gt;"",E43="",F43="",G43="",H43="",I43="",J43=""),"ใส่เลขข้อที่ได้ดำเนินการ",IF(BR43&lt;&gt;"",BR43,IF(BP43="Error","ใส่เลขผิด",IF(J42&lt;&gt;BQ43,"จำนวนข้อที่ดำเนินการไม่เท่ากับข้อที่ระบุ",""))))))))</f>
      </c>
      <c r="F44" s="342"/>
      <c r="G44" s="342"/>
      <c r="H44" s="342"/>
      <c r="I44" s="342"/>
      <c r="J44" s="342"/>
      <c r="K44" s="342"/>
      <c r="L44" s="342"/>
      <c r="M44" s="343"/>
      <c r="N44" s="360"/>
      <c r="O44" s="426"/>
      <c r="P44" s="406"/>
      <c r="Q44" s="407"/>
      <c r="R44" s="408"/>
      <c r="S44" s="288"/>
      <c r="T44" s="292"/>
      <c r="BP44" s="65">
        <f>IF(AND(E46="",F46="",G46="",H46="",I46=""),"",IF(AND(C46="",J45="",E46&lt;&gt;""),"incorrect",IF(AND(E46="",F46&lt;&gt;""),"space",IF(AND(F46&lt;&gt;"",E46&gt;F46),"ascending",IF(OR(E46="",E46=1,E46=2,E46=3,E46=4,E46=5,E46=6),"","Error")))))</f>
      </c>
      <c r="BQ44" s="65">
        <f>IF(AND(F46&lt;&gt;"",E46=F46),"ใส่เลขข้อซ้ำ",IF(AND(F46="",G46&lt;&gt;""),"space",IF(AND(G46&lt;&gt;"",F46&gt;G46),"ascending",IF(OR(F46="",F46=2,F46=3,F46=4,F46=5,F46=6),"","Error"))))</f>
      </c>
      <c r="BR44" s="65">
        <f>IF(AND(G46&lt;&gt;"",OR(E46=G46,F46=G46)),"ใส่เลขข้อซ้ำ",IF(AND(G46="",H46&lt;&gt;""),"space",IF(AND(H46&lt;&gt;"",G46&gt;H46),"ascending",IF(OR(G46="",G46=3,G46=4,G46=5,G46=6),"","Error"))))</f>
      </c>
      <c r="BS44" s="65">
        <f>IF(AND(H46&lt;&gt;"",OR(E46=H46,F46=H46,G46=H46)),"ใส่เลขข้อซ้ำ",IF(AND(H46="",I46&lt;&gt;""),"space",IF(AND(I46&lt;&gt;"",H46&gt;I46),"ascending",IF(OR(H46="",H46=4,H46=5,H46=6),"","Error"))))</f>
      </c>
    </row>
    <row r="45" spans="1:68" ht="22.5" customHeight="1">
      <c r="A45" s="440" t="s">
        <v>70</v>
      </c>
      <c r="B45" s="326" t="str">
        <f>IF(C46="","",IF(OR(C46=1,C46=2,C46=3,C46=4,C46=5),"ดำเนินการ",IF(C46=6,"ดำเนินการครบ","Error")))</f>
        <v>ดำเนินการ</v>
      </c>
      <c r="C45" s="327"/>
      <c r="D45" s="328"/>
      <c r="E45" s="329" t="str">
        <f>IF(J45="","",IF(OR(J45=0,J45=1,J45=2,J45=3,J45=4,J45=5),"มีการดำเนินการ",IF(J45=6,"มีการดำเนินการครบ","Error")))</f>
        <v>มีการดำเนินการครบ</v>
      </c>
      <c r="F45" s="330"/>
      <c r="G45" s="330"/>
      <c r="H45" s="330"/>
      <c r="I45" s="330"/>
      <c r="J45" s="116">
        <v>6</v>
      </c>
      <c r="K45" s="331" t="str">
        <f>IF(J45="","",IF(OR(J45=1,J45=2,J45=3,J45=4,J45=5),"ข้อ ได้แก่ข้อที่",IF(OR(J45=0,J45=6),"ข้อ","ใส่เลขผิด")))</f>
        <v>ข้อ</v>
      </c>
      <c r="L45" s="331"/>
      <c r="M45" s="332"/>
      <c r="N45" s="358">
        <f>IF(AND(C46="",J45="",E47=""),"",IF(OR(E47&lt;&gt;"",B45="Error"),"Error",IF(AND(OR(C46=1,C46=2,C46=3,C46=4,C46=5,C46=6),OR(J45=0,J45=1,J45=2,J45=3,J45=4,J45=5,J45=6)),LOOKUP(J45,{0,1,2,3,5,6},{0,1,2,3,4,5}),"Error")))</f>
        <v>5</v>
      </c>
      <c r="O45" s="424"/>
      <c r="P45" s="400" t="str">
        <f>IF(OR(C46="",B45="Error",E45="Error",E47&lt;&gt;""),"",IF(C46&lt;=J45,"ü","û"))</f>
        <v>ü</v>
      </c>
      <c r="Q45" s="401"/>
      <c r="R45" s="402"/>
      <c r="S45" s="287"/>
      <c r="T45" s="290">
        <f>IF(AND(C46="",J45&lt;&gt;""),"ต้องใส่จำนวนข้อเป้าหมาย",IF(AND(OR(C46="",C46=1,C46=2,C46=3,C46=4,C46=5,C46=6),OR(J45="",J45=0,J45=1,J45=2,J45=3,J45=4,J45=5,J45=6)),"",IF(AND(C46="",J45=""),"","ใส่เลขผิด")))</f>
      </c>
      <c r="X45" s="127">
        <v>1</v>
      </c>
      <c r="Y45" s="128" t="s">
        <v>59</v>
      </c>
      <c r="Z45" s="129"/>
      <c r="AA45" s="129"/>
      <c r="AB45" s="129"/>
      <c r="BP45" s="65">
        <f>IF(AND(I46&lt;&gt;"",OR(E46=I46,F46=I46,G46=I46,H46=I46)),"ใส่เลขข้อซ้ำ",IF(OR(I46="",I46=5,I46=6),"","Error"))</f>
      </c>
    </row>
    <row r="46" spans="1:72" ht="22.5" customHeight="1">
      <c r="A46" s="455"/>
      <c r="B46" s="95"/>
      <c r="C46" s="146">
        <v>4</v>
      </c>
      <c r="D46" s="74" t="str">
        <f>IF(C46="","",IF(OR(C46=1,C46=2,C46=3,C46=4,C46=5,C46=6),"ข้อ",""))</f>
        <v>ข้อ</v>
      </c>
      <c r="E46" s="114"/>
      <c r="F46" s="115"/>
      <c r="G46" s="115"/>
      <c r="H46" s="115"/>
      <c r="I46" s="115"/>
      <c r="J46" s="438"/>
      <c r="K46" s="438"/>
      <c r="L46" s="438"/>
      <c r="M46" s="439"/>
      <c r="N46" s="359"/>
      <c r="O46" s="425"/>
      <c r="P46" s="403"/>
      <c r="Q46" s="404"/>
      <c r="R46" s="405"/>
      <c r="S46" s="345"/>
      <c r="T46" s="291"/>
      <c r="BP46" s="85">
        <f>IF(COUNTIF(BP44:BS44:BP45,"Error")&gt;0,"Error","")</f>
      </c>
      <c r="BQ46" s="67">
        <f>COUNT(E46:I46)</f>
        <v>0</v>
      </c>
      <c r="BR46" s="421">
        <f>IF(COUNTIF(BP44,"incorrect")&gt;0,"ให้ใส่เป้าหมายและผลที่ดำเนินการได้ก่อน",IF(COUNTIF(BP44:BS44:BP45,"space")&gt;0,"ให้ใส่เลขข้อโดยไม่ข้ามช่องว่าง",IF(COUNTIF(BP44:BS44:BP45,"ascending")&gt;0,"ให้เรียงเลขข้อจากน้อยไปมาก",IF(COUNTIF(BQ44:BS44:BP45,"ใส่เลขข้อซ้ำ")&gt;0,"ใส่เลขข้อซ้ำ",""))))</f>
      </c>
      <c r="BS46" s="422"/>
      <c r="BT46" s="423"/>
    </row>
    <row r="47" spans="1:71" ht="45" customHeight="1">
      <c r="A47" s="456"/>
      <c r="B47" s="365"/>
      <c r="C47" s="366"/>
      <c r="D47" s="367"/>
      <c r="E47" s="341">
        <f>IF(OR(B45="Error",E45="Error"),"",IF(AND(C46&lt;&gt;"",J45=""),"ให้ใส่จำนวนข้อที่ดำเนินการได้ทั้งหมด",IF(AND(J45=6,E46="",F46="",G46="",H46="",I46=""),"",IF(AND(OR(J45=0,J45=6),OR(E46&lt;&gt;"",F46&lt;&gt;"",G46&lt;&gt;"",H46&lt;&gt;"",I46&lt;&gt;"")),"ไม่ต้องใส่เลขข้อที่ได้ดำเนินการ",IF(AND(J45&lt;6,J45&gt;0,C46&lt;&gt;"",E46="",F46="",G46="",H46="",I46=""),"ใส่เลขข้อที่ได้ดำเนินการ",IF(BR46&lt;&gt;"",BR46,IF(BP46="Error","ใส่เลขผิด",IF(J45&lt;&gt;BQ46,"จำนวนข้อที่ดำเนินการไม่เท่ากับข้อที่ระบุ",""))))))))</f>
      </c>
      <c r="F47" s="466"/>
      <c r="G47" s="466"/>
      <c r="H47" s="466"/>
      <c r="I47" s="466"/>
      <c r="J47" s="466"/>
      <c r="K47" s="466"/>
      <c r="L47" s="466"/>
      <c r="M47" s="467"/>
      <c r="N47" s="360"/>
      <c r="O47" s="426"/>
      <c r="P47" s="406"/>
      <c r="Q47" s="407"/>
      <c r="R47" s="408"/>
      <c r="S47" s="288"/>
      <c r="T47" s="292"/>
      <c r="BP47" s="65">
        <f>IF(AND(E49="",F49="",G49="",H49="",I49="",J49="",K49=""),"",IF(AND(B49="",J48="",E49&lt;&gt;""),"incorrect",IF(AND(E49="",F49&lt;&gt;""),"space",IF(AND(F49&lt;&gt;"",E49&gt;F49),"ascending",IF(OR(E49=1,E49=2,E49=3,E49=4,E49=5,E49=6,E49=7),1,IF(OR(E49="",E49=8),"","Error"))))))</f>
      </c>
      <c r="BQ47" s="65">
        <f>IF(AND(F49&lt;&gt;"",E49=F49),"ใส่เลขข้อซ้ำ",IF(AND(F49="",G49&lt;&gt;""),"space",IF(AND(G49&lt;&gt;"",F49&gt;G49),"ascending",IF(OR(F49=2,F49=3,F49=4,F49=5,F49=6,F49=7),1,IF(OR(F49="",F49=8),"","Error")))))</f>
      </c>
      <c r="BR47" s="76">
        <f>IF(AND(G49&lt;&gt;"",OR(E49=G49,F49=G49)),"ใส่เลขข้อซ้ำ",IF(AND(G49="",H49&lt;&gt;""),"space",IF(AND(H49&lt;&gt;"",G49&gt;H49),"ascending",IF(OR(G49=3,G49=4,G49=5,G49=6,G49=7),1,IF(OR(G49="",G49=8),"","Error")))))</f>
      </c>
      <c r="BS47" s="76">
        <f>IF(AND(H49&lt;&gt;"",OR(E49=H49,F49=H49,G49=H49)),"ใส่เลขข้อซ้ำ",IF(AND(H49="",I49&lt;&gt;""),"space",IF(AND(I49&lt;&gt;"",H49&gt;I49),"ascending",IF(OR(H49=4,H49=5,H49=6,H49=7),1,IF(OR(H49="",H49=8),"","Error")))))</f>
      </c>
    </row>
    <row r="48" spans="1:71" ht="22.5" customHeight="1">
      <c r="A48" s="323" t="s">
        <v>73</v>
      </c>
      <c r="B48" s="471" t="str">
        <f>IF(B49="","",IF(OR(B49=1,B49=2,B49=3,B49=4,B49=5,B49=6),"ดำเนินการ",IF(B49=7,"ดำเนินการครบ","Error")))</f>
        <v>ดำเนินการ</v>
      </c>
      <c r="C48" s="472"/>
      <c r="D48" s="473"/>
      <c r="E48" s="329" t="str">
        <f>IF(J48="","",IF(OR(J48=0,J48=1,J48=2,J48=3,J48=4,J48=5,J48=6,J48=7),"มีการดำเนินการ",IF(J48=8,"มีการดำเนินการครบ","Error")))</f>
        <v>มีการดำเนินการครบ</v>
      </c>
      <c r="F48" s="330"/>
      <c r="G48" s="330"/>
      <c r="H48" s="330"/>
      <c r="I48" s="330"/>
      <c r="J48" s="116">
        <v>8</v>
      </c>
      <c r="K48" s="331" t="str">
        <f>IF(J48="","",IF(OR(J48=1,J48=2,J48=3,J48=4,J48=5,J48=6,J48=7),"ข้อ ได้แก่ข้อที่",IF(OR(J48=0,J48=8),"ข้อ","ใส่เลขผิด")))</f>
        <v>ข้อ</v>
      </c>
      <c r="L48" s="331"/>
      <c r="M48" s="332"/>
      <c r="N48" s="358">
        <f>IF(AND(B49="",J48="",E50=""),"",IF(OR(E50&lt;&gt;"",BP49="Error",B48="Error"),"Error",IF(AND(B49&lt;&gt;"",BR49&lt;7,BR49&gt;0),LOOKUP(BR49,{0,1,2,4,6},{0,1,2,3,4}),IF(AND(OR(B49=1,B49=2,B49=3,B49=4,B49=5,B49=6,B49=7),OR(J48=0,J48=1,J48=2,J48=3,J48=4,J48=5,J48=6,J48=7,J48=8)),LOOKUP(J48,{0,1,2,4,6,8},{0,1,2,3,4,5}),"Error"))))</f>
        <v>5</v>
      </c>
      <c r="O48" s="424"/>
      <c r="P48" s="401" t="str">
        <f>IF(OR(B49="",B48="Error",E48="Error",E50&lt;&gt;""),"",IF(AND(B49&lt;7,B49&lt;=J48),"ü",IF(AND(B49=7,J48=8),"ü","û")))</f>
        <v>ü</v>
      </c>
      <c r="Q48" s="401"/>
      <c r="R48" s="402"/>
      <c r="S48" s="287"/>
      <c r="T48" s="290">
        <f>IF(AND(B49="",J48&lt;&gt;""),"ต้องใส่จำนวนข้อเป้าหมาย",IF(AND(OR(B49="",B49=1,B49=2,B49=3,B49=4,B49=5,B49=6,B49=7),OR(J48="",J48=0,J48=1,J48=2,J48=3,J48=4,J48=5,J48=6,J48=7,J48=8)),"",IF(AND(B49="",J48=""),"","ใส่เลขผิด")))</f>
      </c>
      <c r="BP48" s="65">
        <f>IF(AND(I49&lt;&gt;"",OR(E49=I49,F49=I49,G49=I49,H49=I49)),"ใส่เลขข้อซ้ำ",IF(AND(I49="",J49&lt;&gt;""),"space",IF(AND(J49&lt;&gt;"",I49&gt;J49),"ascending",IF(OR(I49=5,I49=6,I49=7),1,IF(OR(I49="",I49=8),"","Error")))))</f>
      </c>
      <c r="BQ48" s="65">
        <f>IF(AND(J49&lt;&gt;"",OR(E49=J49,F49=J49,G49=J49,H49=J49,I49=J49)),"ใส่เลขข้อซ้ำ",IF(AND(J49="",K49&lt;&gt;""),"space",IF(AND(K49&lt;&gt;"",J49&gt;K49),"ascending",IF(OR(J49=6,J49=7),1,IF(OR(J49="",J49=8),"","Error")))))</f>
      </c>
      <c r="BR48" s="77">
        <f>IF(AND(K49&lt;&gt;"",OR(E49=K49,F49=K49,G49=K49,H49=K49,I49=K49,J49=K49)),"ใส่เลขข้อซ้ำ",IF(OR(K49="",K49=7,K49=8),"","Error"))</f>
      </c>
      <c r="BS48" s="149" t="str">
        <f>IF(AND(B49="",J48=""),"",IF(AND(B49&lt;7,B49&lt;=J48),"ü",IF(AND(B49=7,J48=8),"ü","û")))</f>
        <v>ü</v>
      </c>
    </row>
    <row r="49" spans="1:73" ht="22.5" customHeight="1">
      <c r="A49" s="324"/>
      <c r="B49" s="147">
        <v>5</v>
      </c>
      <c r="C49" s="464" t="str">
        <f>IF(B49="","",IF(OR(B49=1,B49=2,B49=3,B49=4,B49=5,B49=6),"ข้อ",IF(B49=7,"ข้อและเป็นไป","")))</f>
        <v>ข้อ</v>
      </c>
      <c r="D49" s="465"/>
      <c r="E49" s="117"/>
      <c r="F49" s="118"/>
      <c r="G49" s="118"/>
      <c r="H49" s="118"/>
      <c r="I49" s="118"/>
      <c r="J49" s="118"/>
      <c r="K49" s="130"/>
      <c r="L49" s="105"/>
      <c r="M49" s="106"/>
      <c r="N49" s="359"/>
      <c r="O49" s="425"/>
      <c r="P49" s="404"/>
      <c r="Q49" s="404"/>
      <c r="R49" s="405"/>
      <c r="S49" s="345"/>
      <c r="T49" s="291"/>
      <c r="BP49" s="85">
        <f>IF(COUNTIF(BP47:BS47:BP48:BR48,"Error")&gt;0,"Error","")</f>
      </c>
      <c r="BQ49" s="67">
        <f>COUNT(E49:K49)</f>
        <v>0</v>
      </c>
      <c r="BR49" s="73">
        <f>IF(COUNTIF(BP47:BS47:BP48:BR48,"Error")&gt;0,"Error",SUM(BP47:BS47:BP48:BQ48))</f>
        <v>0</v>
      </c>
      <c r="BS49" s="468">
        <f>IF(COUNTIF(BP47,"incorrect")&gt;0,"ให้ใส่เป้าหมายและผลที่ดำเนินการได้ก่อน",IF(COUNTIF(BP47:BS47:BP48:BR48,"space")&gt;0,"ให้ใส่เลขข้อโดยไม่ข้ามช่องว่าง",IF(COUNTIF(BP47:BS47:BP48:BR48,"ascending")&gt;0,"ให้เรียงเลขข้อจากน้อยไปมาก",IF(COUNTIF(BQ47:BS47:BP48:BR48,"ใส่เลขข้อซ้ำ")&gt;0,"ใส่เลขข้อซ้ำ",""))))</f>
      </c>
      <c r="BT49" s="469"/>
      <c r="BU49" s="470"/>
    </row>
    <row r="50" spans="1:71" ht="45" customHeight="1">
      <c r="A50" s="325"/>
      <c r="B50" s="338">
        <f>IF(B49=7,"ตามเกณฑ์มาตรฐานเพิ่มเติมเฉพาะกลุ่ม","")</f>
      </c>
      <c r="C50" s="339"/>
      <c r="D50" s="340"/>
      <c r="E50" s="341">
        <f>IF(OR(B48="Error",E48="Error"),"",IF(AND(B49&lt;&gt;"",J48=""),"ให้ใส่จำนวนข้อที่ดำเนินการได้ทั้งหมด",IF(AND(J48=8,E49="",F49="",G49="",H49="",I49="",J49="",K49=""),"",IF(AND(OR(J48=0,J48=8),OR(E49&lt;&gt;"",F49&lt;&gt;"",G49&lt;&gt;"",H49&lt;&gt;"",I49&lt;&gt;"",J49&lt;&gt;"",K49&lt;&gt;"")),"ไม่ต้องใส่เลขข้อที่ได้ดำเนินการ",IF(AND(J48&lt;8,J48&gt;0,B49&lt;&gt;"",E49="",F49="",G49="",H49="",I49="",J49="",K49=""),"ใส่เลขข้อที่ได้ดำเนินการ",IF(BS49&lt;&gt;"",BS49,IF(BP49="Error","ใส่เลขผิด",IF(J48&lt;&gt;BQ49,"จำนวนข้อที่ดำเนินการไม่เท่ากับข้อที่ระบุ",""))))))))</f>
      </c>
      <c r="F50" s="466"/>
      <c r="G50" s="466"/>
      <c r="H50" s="466"/>
      <c r="I50" s="466"/>
      <c r="J50" s="466"/>
      <c r="K50" s="466"/>
      <c r="L50" s="466"/>
      <c r="M50" s="467"/>
      <c r="N50" s="360"/>
      <c r="O50" s="426"/>
      <c r="P50" s="407"/>
      <c r="Q50" s="407"/>
      <c r="R50" s="408"/>
      <c r="S50" s="288"/>
      <c r="T50" s="292"/>
      <c r="BP50" s="65">
        <f>IF(AND(E52="",F52="",G52="",H52=""),"",IF(AND(C52="",J51="",E52&lt;&gt;""),"incorrect",IF(AND(E52="",F52&lt;&gt;""),"space",IF(AND(F52&lt;&gt;"",E52&gt;F52),"ascending",IF(OR(E52="",E52=1,E52=2,E52=3,E52=4,E52=5),"","Error")))))</f>
      </c>
      <c r="BQ50" s="65">
        <f>IF(AND(F52&lt;&gt;"",E52=F52),"ใส่เลขข้อซ้ำ",IF(AND(F52="",G52&lt;&gt;""),"space",IF(AND(G52&lt;&gt;"",F52&gt;G52),"ascending",IF(OR(F52="",F52=2,F52=3,F52=4,F52=5),"","Error"))))</f>
      </c>
      <c r="BR50" s="65">
        <f>IF(AND(G52&lt;&gt;"",OR(E52=G52,F52=G52)),"ใส่เลขข้อซ้ำ",IF(AND(G52="",H52&lt;&gt;""),"space",IF(AND(H52&lt;&gt;"",G52&gt;H52),"ascending",IF(OR(G52="",G52=3,G52=4,G52=5),"","Error"))))</f>
      </c>
      <c r="BS50" s="65">
        <f>IF(AND(H52&lt;&gt;"",OR(E52=H52,F52=H52,G52=H52)),"ใส่เลขข้อซ้ำ",IF(OR(H52="",H52=4,H52=5),"","Error"))</f>
      </c>
    </row>
    <row r="51" spans="1:71" ht="22.5">
      <c r="A51" s="440" t="s">
        <v>131</v>
      </c>
      <c r="B51" s="326" t="str">
        <f>IF(C52="","",IF(OR(C52=1,C52=2,C52=3,C52=4),"ดำเนินการ",IF(C52=5,"ดำเนินการครบ","Error")))</f>
        <v>ดำเนินการครบ</v>
      </c>
      <c r="C51" s="327"/>
      <c r="D51" s="328"/>
      <c r="E51" s="329" t="str">
        <f>IF(J51="","",IF(OR(J51=0,J51=1,J51=2,J51=3,J51=4),"มีการดำเนินการ",IF(J51=5,"มีการดำเนินการครบ","Error")))</f>
        <v>มีการดำเนินการ</v>
      </c>
      <c r="F51" s="330"/>
      <c r="G51" s="330"/>
      <c r="H51" s="330"/>
      <c r="I51" s="330"/>
      <c r="J51" s="116">
        <v>3</v>
      </c>
      <c r="K51" s="331" t="str">
        <f>IF(J51="","",IF(OR(J51=1,J51=2,J51=3,J51=4),"ข้อ ได้แก่ข้อที่",IF(OR(J51=0,J51=5),"ข้อ","ใส่เลขผิด")))</f>
        <v>ข้อ ได้แก่ข้อที่</v>
      </c>
      <c r="L51" s="331"/>
      <c r="M51" s="332"/>
      <c r="N51" s="358">
        <f>IF(AND(C52="",J51="",E53=""),"",IF(OR(E53&lt;&gt;"",B51="Error"),"Error",IF(AND(OR(C52=1,C52=2,C52=3,C52=4,C52=5),OR(J51=0,J51=1,J51=2,J51=3,J51=4,J51=5)),LOOKUP(J51,{0,1,2,3,4,5},{0,1,2,3,4,5}),"Error")))</f>
        <v>3</v>
      </c>
      <c r="O51" s="424" t="s">
        <v>179</v>
      </c>
      <c r="P51" s="400" t="str">
        <f>IF(OR(C52="",B51="Error",E51="Error",E53&lt;&gt;""),"",IF(C52&lt;=J51,"ü","û"))</f>
        <v>û</v>
      </c>
      <c r="Q51" s="401"/>
      <c r="R51" s="402"/>
      <c r="S51" s="287"/>
      <c r="T51" s="290">
        <f>IF(AND(C52="",J51&lt;&gt;""),"ต้องใส่จำนวนข้อเป้าหมาย",IF(AND(OR(C52="",C52=1,C52=2,C52=3,C52=4,C52=5),OR(J51="",J51=0,J51=1,J51=2,J51=3,J51=4,J51=5)),"",IF(AND(C52="",J51=""),"","ใส่เลขผิด")))</f>
      </c>
      <c r="BP51" s="85">
        <f>IF(COUNTIF(BP50:BS50,"Error")&gt;0,"Error","")</f>
      </c>
      <c r="BQ51" s="67">
        <f>COUNT(E52:H52)</f>
        <v>3</v>
      </c>
      <c r="BR51" s="446">
        <f>IF(COUNTIF(BP50,"incorrect")&gt;0,"ให้ใส่เป้าหมายและผลที่ดำเนินการได้ก่อน",IF(COUNTIF(BP50:BS50,"space")&gt;0,"ให้ใส่เลขข้อโดยไม่ข้ามช่องว่าง",IF(COUNTIF(BP50:BS50,"ascending")&gt;0,"ให้เรียงเลขข้อจากน้อยไปมาก",IF(COUNTIF(BQ50:BS50,"ใส่เลขข้อซ้ำ")&gt;0,"ใส่เลขข้อซ้ำ",""))))</f>
      </c>
      <c r="BS51" s="446"/>
    </row>
    <row r="52" spans="1:73" ht="22.5" customHeight="1">
      <c r="A52" s="455"/>
      <c r="B52" s="81"/>
      <c r="C52" s="146">
        <v>5</v>
      </c>
      <c r="D52" s="74" t="str">
        <f>IF(C52="","",IF(OR(C52=1,C52=2,C52=3,C52=4,C52=5),"ข้อ",""))</f>
        <v>ข้อ</v>
      </c>
      <c r="E52" s="114">
        <v>1</v>
      </c>
      <c r="F52" s="115">
        <v>4</v>
      </c>
      <c r="G52" s="115">
        <v>5</v>
      </c>
      <c r="H52" s="115"/>
      <c r="I52" s="363"/>
      <c r="J52" s="363"/>
      <c r="K52" s="363"/>
      <c r="L52" s="363"/>
      <c r="M52" s="364"/>
      <c r="N52" s="359"/>
      <c r="O52" s="425"/>
      <c r="P52" s="403"/>
      <c r="Q52" s="404"/>
      <c r="R52" s="405"/>
      <c r="S52" s="345"/>
      <c r="T52" s="291"/>
      <c r="BP52" s="104"/>
      <c r="BQ52" s="104"/>
      <c r="BR52" s="104"/>
      <c r="BS52" s="447"/>
      <c r="BT52" s="447"/>
      <c r="BU52" s="447"/>
    </row>
    <row r="53" spans="1:20" ht="67.5" customHeight="1">
      <c r="A53" s="456"/>
      <c r="B53" s="365"/>
      <c r="C53" s="366"/>
      <c r="D53" s="367"/>
      <c r="E53" s="341">
        <f>IF(OR(B51="Error",E51="Error"),"",IF(AND(C52&lt;&gt;"",J51=""),"ให้ใส่จำนวนข้อที่ดำเนินการได้ทั้งหมด",IF(AND(J51=5,E52="",F52="",G52="",H52=""),"",IF(AND(OR(J51=0,J51=5),OR(E52&lt;&gt;"",F52&lt;&gt;"",G52&lt;&gt;"",H52&lt;&gt;"")),"ไม่ต้องใส่เลขข้อที่ได้ดำเนินการ",IF(AND(J51&lt;5,J51&gt;0,C52&lt;&gt;"",E52="",F52="",G52="",H52=""),"ใส่เลขข้อที่ได้ดำเนินการ",IF(BR51&lt;&gt;"",BR51,IF(BP51="Error","ใส่เลขผิด",IF(J51&lt;&gt;BQ51,"จำนวนข้อที่ดำเนินการไม่เท่ากับข้อที่ระบุ",""))))))))</f>
      </c>
      <c r="F53" s="466"/>
      <c r="G53" s="466"/>
      <c r="H53" s="466"/>
      <c r="I53" s="466"/>
      <c r="J53" s="466"/>
      <c r="K53" s="466"/>
      <c r="L53" s="466"/>
      <c r="M53" s="467"/>
      <c r="N53" s="360"/>
      <c r="O53" s="426"/>
      <c r="P53" s="406"/>
      <c r="Q53" s="407"/>
      <c r="R53" s="408"/>
      <c r="S53" s="288"/>
      <c r="T53" s="292"/>
    </row>
    <row r="54" spans="1:63" ht="56.25" customHeight="1">
      <c r="A54" s="440" t="s">
        <v>74</v>
      </c>
      <c r="B54" s="489">
        <v>10000</v>
      </c>
      <c r="C54" s="490"/>
      <c r="D54" s="491"/>
      <c r="E54" s="492">
        <f>IF(B54="","",IF(OR(B54&lt;1,BR14="Error"),"Error",IF(OR(Y96="",OR(SUM(V96:X96)=0,Y96="")),"",IF(OR(V96="Error",X96="Error"),"Error",IF(AND(X45=1,X45=AC96),Y96,IF(AND(X45=2,AC96&gt;1),Y96,IF(AND(X45=2,AC96=1),"ต้องมากกว่า 1 คณะ","มีข้อมูลคณะอื่น")))))))</f>
        <v>2554100</v>
      </c>
      <c r="F54" s="493"/>
      <c r="G54" s="493"/>
      <c r="H54" s="493"/>
      <c r="I54" s="494"/>
      <c r="J54" s="495">
        <f>IF(OR(E54="",E54="มีข้อมูลคณะอื่น",E54="ต้องมากกว่า 1 คณะ",E54="Error",E55="",E55="มีข้อมูลคณะอื่น",E55="ต้องมากกว่า 1 คณะ",E55="Error"),"",ROUND(E54/E55,2))</f>
        <v>170273.33</v>
      </c>
      <c r="K54" s="496"/>
      <c r="L54" s="496"/>
      <c r="M54" s="497"/>
      <c r="N54" s="498">
        <f>IF(B54="","",IF(OR(X45="",U96=""),"",IF(E54="Error","Error",IF(AND(X45=1,X45=AC96),U96,IF(AND(X45=2,AC96&gt;1),U96,"")))))</f>
        <v>5</v>
      </c>
      <c r="O54" s="424"/>
      <c r="P54" s="400" t="str">
        <f>IF(OR(B54="",B55="Error",E54="Error",N54=""),"",IF(B54&lt;=J54,"ü","û"))</f>
        <v>ü</v>
      </c>
      <c r="Q54" s="401"/>
      <c r="R54" s="402"/>
      <c r="S54" s="287"/>
      <c r="T54" s="290">
        <f>IF(AND(B54="",U96&lt;&gt;""),"ต้องใส่เป้าหมายจำนวนเงินสนับสนุน",IF(B54="","",IF(B54&lt;=0,"ใส่เลขผิด",IF(OR(Y20&gt;BP13,Y20&gt;BP15),"จำนวน อจ.ประจำให้นับผู้ที่ปฏิบัติงานจริงเท่านั้น",""))))</f>
      </c>
      <c r="U54" s="68" t="s">
        <v>52</v>
      </c>
      <c r="V54" s="69"/>
      <c r="W54" s="480">
        <v>1</v>
      </c>
      <c r="X54" s="481"/>
      <c r="Y54" s="481"/>
      <c r="Z54" s="482"/>
      <c r="AA54" s="480">
        <v>2</v>
      </c>
      <c r="AB54" s="481"/>
      <c r="AC54" s="481"/>
      <c r="AD54" s="482"/>
      <c r="AE54" s="480">
        <v>3</v>
      </c>
      <c r="AF54" s="481"/>
      <c r="AG54" s="481"/>
      <c r="AH54" s="482"/>
      <c r="AI54" s="480">
        <v>4</v>
      </c>
      <c r="AJ54" s="481"/>
      <c r="AK54" s="481"/>
      <c r="AL54" s="482"/>
      <c r="AM54" s="480">
        <v>5</v>
      </c>
      <c r="AN54" s="481"/>
      <c r="AO54" s="481"/>
      <c r="AP54" s="482"/>
      <c r="AQ54" s="480">
        <v>6</v>
      </c>
      <c r="AR54" s="481"/>
      <c r="AS54" s="481"/>
      <c r="AT54" s="482"/>
      <c r="AU54" s="480">
        <v>7</v>
      </c>
      <c r="AV54" s="481"/>
      <c r="AW54" s="481"/>
      <c r="AX54" s="482"/>
      <c r="AY54" s="480">
        <v>8</v>
      </c>
      <c r="AZ54" s="481"/>
      <c r="BA54" s="481"/>
      <c r="BB54" s="482"/>
      <c r="BC54" s="480">
        <v>9</v>
      </c>
      <c r="BD54" s="481"/>
      <c r="BE54" s="481"/>
      <c r="BF54" s="482"/>
      <c r="BG54" s="480">
        <v>10</v>
      </c>
      <c r="BH54" s="481"/>
      <c r="BI54" s="481"/>
      <c r="BJ54" s="482"/>
      <c r="BK54" s="104"/>
    </row>
    <row r="55" spans="1:63" ht="30" customHeight="1">
      <c r="A55" s="455"/>
      <c r="B55" s="501" t="str">
        <f>IF(B54="","",IF(B54&lt;=0,"ต้องไม่น้อยกว่าหรือเท่ากับ 0 บาท","บาทต่อคน"))</f>
        <v>บาทต่อคน</v>
      </c>
      <c r="C55" s="502"/>
      <c r="D55" s="503"/>
      <c r="E55" s="504">
        <f>IF(B54="","",IF(OR(B54&lt;1,BR14="Error"),"Error",IF(OR(SUM(V96:X96)=0,OR(SUM(V96:X96)=0,Y96="")),"",IF(OR(V96="Error",X96="Error"),"Error",IF(AND(X45=1,X45=AC96),SUM(V96:X96),IF(AND(X45=2,AC96&gt;1),SUM(V96:X96),IF(AND(X45=2,AC96=1),"ต้องมากกว่า 1 คณะ","มีข้อมูลคณะอื่น")))))))</f>
        <v>15</v>
      </c>
      <c r="F55" s="505"/>
      <c r="G55" s="505"/>
      <c r="H55" s="505"/>
      <c r="I55" s="506"/>
      <c r="J55" s="476" t="str">
        <f>IF(J54="","","บาทต่อคน")</f>
        <v>บาทต่อคน</v>
      </c>
      <c r="K55" s="476"/>
      <c r="L55" s="476"/>
      <c r="M55" s="477"/>
      <c r="N55" s="499"/>
      <c r="O55" s="425"/>
      <c r="P55" s="403"/>
      <c r="Q55" s="404"/>
      <c r="R55" s="405"/>
      <c r="S55" s="345"/>
      <c r="T55" s="291"/>
      <c r="U55" s="110"/>
      <c r="V55" s="49"/>
      <c r="W55" s="85" t="s">
        <v>46</v>
      </c>
      <c r="X55" s="50" t="s">
        <v>47</v>
      </c>
      <c r="Y55" s="474" t="s">
        <v>58</v>
      </c>
      <c r="Z55" s="475"/>
      <c r="AA55" s="85" t="s">
        <v>46</v>
      </c>
      <c r="AB55" s="50" t="s">
        <v>47</v>
      </c>
      <c r="AC55" s="474" t="s">
        <v>58</v>
      </c>
      <c r="AD55" s="475"/>
      <c r="AE55" s="85" t="s">
        <v>46</v>
      </c>
      <c r="AF55" s="50" t="s">
        <v>47</v>
      </c>
      <c r="AG55" s="474" t="s">
        <v>58</v>
      </c>
      <c r="AH55" s="475"/>
      <c r="AI55" s="85" t="s">
        <v>46</v>
      </c>
      <c r="AJ55" s="50" t="s">
        <v>47</v>
      </c>
      <c r="AK55" s="474" t="s">
        <v>58</v>
      </c>
      <c r="AL55" s="475"/>
      <c r="AM55" s="85" t="s">
        <v>46</v>
      </c>
      <c r="AN55" s="50" t="s">
        <v>47</v>
      </c>
      <c r="AO55" s="474" t="s">
        <v>58</v>
      </c>
      <c r="AP55" s="475"/>
      <c r="AQ55" s="85" t="s">
        <v>46</v>
      </c>
      <c r="AR55" s="50" t="s">
        <v>47</v>
      </c>
      <c r="AS55" s="474" t="s">
        <v>58</v>
      </c>
      <c r="AT55" s="475"/>
      <c r="AU55" s="85" t="s">
        <v>46</v>
      </c>
      <c r="AV55" s="50" t="s">
        <v>47</v>
      </c>
      <c r="AW55" s="474" t="s">
        <v>58</v>
      </c>
      <c r="AX55" s="475"/>
      <c r="AY55" s="85" t="s">
        <v>46</v>
      </c>
      <c r="AZ55" s="50" t="s">
        <v>47</v>
      </c>
      <c r="BA55" s="474" t="s">
        <v>58</v>
      </c>
      <c r="BB55" s="475"/>
      <c r="BC55" s="85" t="s">
        <v>46</v>
      </c>
      <c r="BD55" s="50" t="s">
        <v>47</v>
      </c>
      <c r="BE55" s="474" t="s">
        <v>58</v>
      </c>
      <c r="BF55" s="475"/>
      <c r="BG55" s="85" t="s">
        <v>46</v>
      </c>
      <c r="BH55" s="50" t="s">
        <v>47</v>
      </c>
      <c r="BI55" s="474" t="s">
        <v>58</v>
      </c>
      <c r="BJ55" s="475"/>
      <c r="BK55" s="96"/>
    </row>
    <row r="56" spans="1:63" ht="30" customHeight="1">
      <c r="A56" s="456"/>
      <c r="B56" s="338"/>
      <c r="C56" s="339"/>
      <c r="D56" s="340"/>
      <c r="E56" s="507"/>
      <c r="F56" s="508"/>
      <c r="G56" s="508"/>
      <c r="H56" s="508"/>
      <c r="I56" s="509"/>
      <c r="J56" s="478"/>
      <c r="K56" s="478"/>
      <c r="L56" s="478"/>
      <c r="M56" s="479"/>
      <c r="N56" s="500"/>
      <c r="O56" s="426"/>
      <c r="P56" s="406"/>
      <c r="Q56" s="407"/>
      <c r="R56" s="408"/>
      <c r="S56" s="288"/>
      <c r="T56" s="292"/>
      <c r="U56" s="40" t="s">
        <v>48</v>
      </c>
      <c r="V56" s="39">
        <v>60000</v>
      </c>
      <c r="W56" s="52">
        <v>15</v>
      </c>
      <c r="X56" s="52">
        <v>0</v>
      </c>
      <c r="Y56" s="46">
        <v>2554100</v>
      </c>
      <c r="Z56" s="61">
        <f>IF(Y56="","",IF(AND(W56="",X56=""),"",IF(OR(W56&lt;0,X56&lt;0),"Error",IF(ROUND(((Y56/(W56+X56))*5/$V56),2)&gt;5,5,IF(ROUND(((Y56/(W56+X56))*5/$V56),2)&lt;0,"Error",ROUND(((Y56/(W56+X56))*5/$V56),2))))))</f>
        <v>5</v>
      </c>
      <c r="AA56" s="52"/>
      <c r="AB56" s="52"/>
      <c r="AC56" s="46"/>
      <c r="AD56" s="61">
        <f>IF(AC56="","",IF(AND(AA56="",AB56=""),"",IF(OR(AA56&lt;0,AB56&lt;0),"Error",IF(ROUND(((AC56/(AA56+AB56))*5/$V56),2)&gt;5,5,IF(ROUND(((AC56/(AA56+AB56))*5/$V56),2)&lt;0,"Error",ROUND(((AC56/(AA56+AB56))*5/$V56),2))))))</f>
      </c>
      <c r="AE56" s="52"/>
      <c r="AF56" s="52"/>
      <c r="AG56" s="46"/>
      <c r="AH56" s="61">
        <f>IF(AG56="","",IF(AND(AE56="",AF56=""),"",IF(OR(AE56&lt;0,AF56&lt;0),"Error",IF(ROUND(((AG56/(AE56+AF56))*5/$V56),2)&gt;5,5,IF(ROUND(((AG56/(AE56+AF56))*5/$V56),2)&lt;0,"Error",ROUND(((AG56/(AE56+AF56))*5/$V56),2))))))</f>
      </c>
      <c r="AI56" s="52"/>
      <c r="AJ56" s="52"/>
      <c r="AK56" s="46"/>
      <c r="AL56" s="61">
        <f>IF(AK56="","",IF(AND(AI56="",AJ56=""),"",IF(OR(AI56&lt;0,AJ56&lt;0),"Error",IF(ROUND(((AK56/(AI56+AJ56))*5/$V56),2)&gt;5,5,IF(ROUND(((AK56/(AI56+AJ56))*5/$V56),2)&lt;0,"Error",ROUND(((AK56/(AI56+AJ56))*5/$V56),2))))))</f>
      </c>
      <c r="AM56" s="52"/>
      <c r="AN56" s="52"/>
      <c r="AO56" s="46"/>
      <c r="AP56" s="61">
        <f>IF(AO56="","",IF(AND(AM56="",AN56=""),"",IF(OR(AM56&lt;0,AN56&lt;0),"Error",IF(ROUND(((AO56/(AM56+AN56))*5/$V56),2)&gt;5,5,IF(ROUND(((AO56/(AM56+AN56))*5/$V56),2)&lt;0,"Error",ROUND(((AO56/(AM56+AN56))*5/$V56),2))))))</f>
      </c>
      <c r="AQ56" s="52"/>
      <c r="AR56" s="52"/>
      <c r="AS56" s="46"/>
      <c r="AT56" s="61">
        <f>IF(AS56="","",IF(AND(AQ56="",AR56=""),"",IF(OR(AQ56&lt;0,AR56&lt;0),"Error",IF(ROUND(((AS56/(AQ56+AR56))*5/$V56),2)&gt;5,5,IF(ROUND(((AS56/(AQ56+AR56))*5/$V56),2)&lt;0,"Error",ROUND(((AS56/(AQ56+AR56))*5/$V56),2))))))</f>
      </c>
      <c r="AU56" s="52"/>
      <c r="AV56" s="52"/>
      <c r="AW56" s="46"/>
      <c r="AX56" s="61">
        <f>IF(AW56="","",IF(AND(AU56="",AV56=""),"",IF(OR(AU56&lt;0,AV56&lt;0),"Error",IF(ROUND(((AW56/(AU56+AV56))*5/$V56),2)&gt;5,5,IF(ROUND(((AW56/(AU56+AV56))*5/$V56),2)&lt;0,"Error",ROUND(((AW56/(AU56+AV56))*5/$V56),2))))))</f>
      </c>
      <c r="AY56" s="52"/>
      <c r="AZ56" s="52"/>
      <c r="BA56" s="46"/>
      <c r="BB56" s="61">
        <f>IF(BA56="","",IF(AND(AY56="",AZ56=""),"",IF(OR(AY56&lt;0,AZ56&lt;0),"Error",IF(ROUND(((BA56/(AY56+AZ56))*5/$V56),2)&gt;5,5,IF(ROUND(((BA56/(AY56+AZ56))*5/$V56),2)&lt;0,"Error",ROUND(((BA56/(AY56+AZ56))*5/$V56),2))))))</f>
      </c>
      <c r="BC56" s="52"/>
      <c r="BD56" s="52"/>
      <c r="BE56" s="46"/>
      <c r="BF56" s="61">
        <f>IF(BE56="","",IF(AND(BC56="",BD56=""),"",IF(OR(BC56&lt;0,BD56&lt;0),"Error",IF(ROUND(((BE56/(BC56+BD56))*5/$V56),2)&gt;5,5,IF(ROUND(((BE56/(BC56+BD56))*5/$V56),2)&lt;0,"Error",ROUND(((BE56/(BC56+BD56))*5/$V56),2))))))</f>
      </c>
      <c r="BG56" s="52"/>
      <c r="BH56" s="52"/>
      <c r="BI56" s="46"/>
      <c r="BJ56" s="61">
        <f>IF(BI56="","",IF(AND(BG56="",BH56=""),"",IF(OR(BG56&lt;0,BH56&lt;0),"Error",IF(ROUND(((BI56/(BG56+BH56))*5/$V56),2)&gt;5,5,IF(ROUND(((BI56/(BG56+BH56))*5/$V56),2)&lt;0,"Error",ROUND(((BI56/(BG56+BH56))*5/$V56),2))))))</f>
      </c>
      <c r="BK56" s="97"/>
    </row>
    <row r="57" spans="1:63" ht="22.5" customHeight="1">
      <c r="A57" s="323" t="s">
        <v>140</v>
      </c>
      <c r="B57" s="560">
        <v>5</v>
      </c>
      <c r="C57" s="561"/>
      <c r="D57" s="562"/>
      <c r="E57" s="549"/>
      <c r="F57" s="550"/>
      <c r="G57" s="550"/>
      <c r="H57" s="550"/>
      <c r="I57" s="551"/>
      <c r="J57" s="574"/>
      <c r="K57" s="575"/>
      <c r="L57" s="575"/>
      <c r="M57" s="576"/>
      <c r="N57" s="572"/>
      <c r="O57" s="454"/>
      <c r="P57" s="483"/>
      <c r="Q57" s="484"/>
      <c r="R57" s="485"/>
      <c r="S57" s="287"/>
      <c r="T57" s="290"/>
      <c r="U57" s="41" t="s">
        <v>49</v>
      </c>
      <c r="V57" s="38">
        <v>50000</v>
      </c>
      <c r="W57" s="53"/>
      <c r="X57" s="53"/>
      <c r="Y57" s="47"/>
      <c r="Z57" s="62">
        <f>IF(Y57="","",IF(AND(W57="",X57=""),"",IF(OR(W57&lt;0,X57&lt;0),"Error",IF(ROUND(((Y57/(W57+X57))*5/$V57),2)&gt;5,5,IF(ROUND(((Y57/(W57+X57))*5/$V57),2)&lt;0,"Error",ROUND(((Y57/(W57+X57))*5/$V57),2))))))</f>
      </c>
      <c r="AA57" s="53"/>
      <c r="AB57" s="53"/>
      <c r="AC57" s="47"/>
      <c r="AD57" s="62">
        <f>IF(AC57="","",IF(AND(AA57="",AB57=""),"",IF(OR(AA57&lt;0,AB57&lt;0),"Error",IF(ROUND(((AC57/(AA57+AB57))*5/$V57),2)&gt;5,5,IF(ROUND(((AC57/(AA57+AB57))*5/$V57),2)&lt;0,"Error",ROUND(((AC57/(AA57+AB57))*5/$V57),2))))))</f>
      </c>
      <c r="AE57" s="53"/>
      <c r="AF57" s="53"/>
      <c r="AG57" s="47"/>
      <c r="AH57" s="62">
        <f>IF(AG57="","",IF(AND(AE57="",AF57=""),"",IF(OR(AE57&lt;0,AF57&lt;0),"Error",IF(ROUND(((AG57/(AE57+AF57))*5/$V57),2)&gt;5,5,IF(ROUND(((AG57/(AE57+AF57))*5/$V57),2)&lt;0,"Error",ROUND(((AG57/(AE57+AF57))*5/$V57),2))))))</f>
      </c>
      <c r="AI57" s="53"/>
      <c r="AJ57" s="53"/>
      <c r="AK57" s="47"/>
      <c r="AL57" s="62">
        <f>IF(AK57="","",IF(AND(AI57="",AJ57=""),"",IF(OR(AI57&lt;0,AJ57&lt;0),"Error",IF(ROUND(((AK57/(AI57+AJ57))*5/$V57),2)&gt;5,5,IF(ROUND(((AK57/(AI57+AJ57))*5/$V57),2)&lt;0,"Error",ROUND(((AK57/(AI57+AJ57))*5/$V57),2))))))</f>
      </c>
      <c r="AM57" s="53"/>
      <c r="AN57" s="53"/>
      <c r="AO57" s="47"/>
      <c r="AP57" s="62">
        <f>IF(AO57="","",IF(AND(AM57="",AN57=""),"",IF(OR(AM57&lt;0,AN57&lt;0),"Error",IF(ROUND(((AO57/(AM57+AN57))*5/$V57),2)&gt;5,5,IF(ROUND(((AO57/(AM57+AN57))*5/$V57),2)&lt;0,"Error",ROUND(((AO57/(AM57+AN57))*5/$V57),2))))))</f>
      </c>
      <c r="AQ57" s="53"/>
      <c r="AR57" s="53"/>
      <c r="AS57" s="47"/>
      <c r="AT57" s="62">
        <f>IF(AS57="","",IF(AND(AQ57="",AR57=""),"",IF(OR(AQ57&lt;0,AR57&lt;0),"Error",IF(ROUND(((AS57/(AQ57+AR57))*5/$V57),2)&gt;5,5,IF(ROUND(((AS57/(AQ57+AR57))*5/$V57),2)&lt;0,"Error",ROUND(((AS57/(AQ57+AR57))*5/$V57),2))))))</f>
      </c>
      <c r="AU57" s="53"/>
      <c r="AV57" s="53"/>
      <c r="AW57" s="47"/>
      <c r="AX57" s="62">
        <f>IF(AW57="","",IF(AND(AU57="",AV57=""),"",IF(OR(AU57&lt;0,AV57&lt;0),"Error",IF(ROUND(((AW57/(AU57+AV57))*5/$V57),2)&gt;5,5,IF(ROUND(((AW57/(AU57+AV57))*5/$V57),2)&lt;0,"Error",ROUND(((AW57/(AU57+AV57))*5/$V57),2))))))</f>
      </c>
      <c r="AY57" s="53"/>
      <c r="AZ57" s="53"/>
      <c r="BA57" s="47"/>
      <c r="BB57" s="62">
        <f>IF(BA57="","",IF(AND(AY57="",AZ57=""),"",IF(OR(AY57&lt;0,AZ57&lt;0),"Error",IF(ROUND(((BA57/(AY57+AZ57))*5/$V57),2)&gt;5,5,IF(ROUND(((BA57/(AY57+AZ57))*5/$V57),2)&lt;0,"Error",ROUND(((BA57/(AY57+AZ57))*5/$V57),2))))))</f>
      </c>
      <c r="BC57" s="53"/>
      <c r="BD57" s="53"/>
      <c r="BE57" s="47"/>
      <c r="BF57" s="62">
        <f>IF(BE57="","",IF(AND(BC57="",BD57=""),"",IF(OR(BC57&lt;0,BD57&lt;0),"Error",IF(ROUND(((BE57/(BC57+BD57))*5/$V57),2)&gt;5,5,IF(ROUND(((BE57/(BC57+BD57))*5/$V57),2)&lt;0,"Error",ROUND(((BE57/(BC57+BD57))*5/$V57),2))))))</f>
      </c>
      <c r="BG57" s="53"/>
      <c r="BH57" s="53"/>
      <c r="BI57" s="47"/>
      <c r="BJ57" s="62">
        <f>IF(BI57="","",IF(AND(BG57="",BH57=""),"",IF(OR(BG57&lt;0,BH57&lt;0),"Error",IF(ROUND(((BI57/(BG57+BH57))*5/$V57),2)&gt;5,5,IF(ROUND(((BI57/(BG57+BH57))*5/$V57),2)&lt;0,"Error",ROUND(((BI57/(BG57+BH57))*5/$V57),2))))))</f>
      </c>
      <c r="BK57" s="97"/>
    </row>
    <row r="58" spans="1:66" ht="22.5" customHeight="1">
      <c r="A58" s="325"/>
      <c r="B58" s="563"/>
      <c r="C58" s="564"/>
      <c r="D58" s="565"/>
      <c r="E58" s="549"/>
      <c r="F58" s="550"/>
      <c r="G58" s="550"/>
      <c r="H58" s="550"/>
      <c r="I58" s="551"/>
      <c r="J58" s="577"/>
      <c r="K58" s="578"/>
      <c r="L58" s="578"/>
      <c r="M58" s="579"/>
      <c r="N58" s="573"/>
      <c r="O58" s="426"/>
      <c r="P58" s="486"/>
      <c r="Q58" s="487"/>
      <c r="R58" s="488"/>
      <c r="S58" s="288"/>
      <c r="T58" s="292"/>
      <c r="U58" s="42" t="s">
        <v>50</v>
      </c>
      <c r="V58" s="37">
        <v>25000</v>
      </c>
      <c r="W58" s="54"/>
      <c r="X58" s="54">
        <v>0</v>
      </c>
      <c r="Y58" s="48"/>
      <c r="Z58" s="63">
        <f>IF(Y58="","",IF(AND(W58="",X58=""),"",IF(OR(W58&lt;0,X58&lt;0),"Error",IF(ROUND(((Y58/(W58+X58))*5/$V58),2)&gt;5,5,IF(ROUND(((Y58/(W58+X58))*5/$V58),2)&lt;0,"Error",ROUND(((Y58/(W58+X58))*5/$V58),2))))))</f>
      </c>
      <c r="AA58" s="54"/>
      <c r="AB58" s="54"/>
      <c r="AC58" s="48"/>
      <c r="AD58" s="63">
        <f>IF(AC58="","",IF(AND(AA58="",AB58=""),"",IF(OR(AA58&lt;0,AB58&lt;0),"Error",IF(ROUND(((AC58/(AA58+AB58))*5/$V58),2)&gt;5,5,IF(ROUND(((AC58/(AA58+AB58))*5/$V58),2)&lt;0,"Error",ROUND(((AC58/(AA58+AB58))*5/$V58),2))))))</f>
      </c>
      <c r="AE58" s="54"/>
      <c r="AF58" s="54"/>
      <c r="AG58" s="48"/>
      <c r="AH58" s="63">
        <f>IF(AG58="","",IF(AND(AE58="",AF58=""),"",IF(OR(AE58&lt;0,AF58&lt;0),"Error",IF(ROUND(((AG58/(AE58+AF58))*5/$V58),2)&gt;5,5,IF(ROUND(((AG58/(AE58+AF58))*5/$V58),2)&lt;0,"Error",ROUND(((AG58/(AE58+AF58))*5/$V58),2))))))</f>
      </c>
      <c r="AI58" s="54"/>
      <c r="AJ58" s="54"/>
      <c r="AK58" s="48"/>
      <c r="AL58" s="63">
        <f>IF(AK58="","",IF(AND(AI58="",AJ58=""),"",IF(OR(AI58&lt;0,AJ58&lt;0),"Error",IF(ROUND(((AK58/(AI58+AJ58))*5/$V58),2)&gt;5,5,IF(ROUND(((AK58/(AI58+AJ58))*5/$V58),2)&lt;0,"Error",ROUND(((AK58/(AI58+AJ58))*5/$V58),2))))))</f>
      </c>
      <c r="AM58" s="54"/>
      <c r="AN58" s="54"/>
      <c r="AO58" s="48"/>
      <c r="AP58" s="63">
        <f>IF(AO58="","",IF(AND(AM58="",AN58=""),"",IF(OR(AM58&lt;0,AN58&lt;0),"Error",IF(ROUND(((AO58/(AM58+AN58))*5/$V58),2)&gt;5,5,IF(ROUND(((AO58/(AM58+AN58))*5/$V58),2)&lt;0,"Error",ROUND(((AO58/(AM58+AN58))*5/$V58),2))))))</f>
      </c>
      <c r="AQ58" s="54"/>
      <c r="AR58" s="54"/>
      <c r="AS58" s="48"/>
      <c r="AT58" s="63">
        <f>IF(AS58="","",IF(AND(AQ58="",AR58=""),"",IF(OR(AQ58&lt;0,AR58&lt;0),"Error",IF(ROUND(((AS58/(AQ58+AR58))*5/$V58),2)&gt;5,5,IF(ROUND(((AS58/(AQ58+AR58))*5/$V58),2)&lt;0,"Error",ROUND(((AS58/(AQ58+AR58))*5/$V58),2))))))</f>
      </c>
      <c r="AU58" s="54"/>
      <c r="AV58" s="54"/>
      <c r="AW58" s="48"/>
      <c r="AX58" s="63">
        <f>IF(AW58="","",IF(AND(AU58="",AV58=""),"",IF(OR(AU58&lt;0,AV58&lt;0),"Error",IF(ROUND(((AW58/(AU58+AV58))*5/$V58),2)&gt;5,5,IF(ROUND(((AW58/(AU58+AV58))*5/$V58),2)&lt;0,"Error",ROUND(((AW58/(AU58+AV58))*5/$V58),2))))))</f>
      </c>
      <c r="AY58" s="54"/>
      <c r="AZ58" s="54"/>
      <c r="BA58" s="48"/>
      <c r="BB58" s="63">
        <f>IF(BA58="","",IF(AND(AY58="",AZ58=""),"",IF(OR(AY58&lt;0,AZ58&lt;0),"Error",IF(ROUND(((BA58/(AY58+AZ58))*5/$V58),2)&gt;5,5,IF(ROUND(((BA58/(AY58+AZ58))*5/$V58),2)&lt;0,"Error",ROUND(((BA58/(AY58+AZ58))*5/$V58),2))))))</f>
      </c>
      <c r="BC58" s="54"/>
      <c r="BD58" s="54"/>
      <c r="BE58" s="48"/>
      <c r="BF58" s="63">
        <f>IF(BE58="","",IF(AND(BC58="",BD58=""),"",IF(OR(BC58&lt;0,BD58&lt;0),"Error",IF(ROUND(((BE58/(BC58+BD58))*5/$V58),2)&gt;5,5,IF(ROUND(((BE58/(BC58+BD58))*5/$V58),2)&lt;0,"Error",ROUND(((BE58/(BC58+BD58))*5/$V58),2))))))</f>
      </c>
      <c r="BG58" s="54"/>
      <c r="BH58" s="54"/>
      <c r="BI58" s="48"/>
      <c r="BJ58" s="63">
        <f>IF(BI58="","",IF(AND(BG58="",BH58=""),"",IF(OR(BG58&lt;0,BH58&lt;0),"Error",IF(ROUND(((BI58/(BG58+BH58))*5/$V58),2)&gt;5,5,IF(ROUND(((BI58/(BG58+BH58))*5/$V58),2)&lt;0,"Error",ROUND(((BI58/(BG58+BH58))*5/$V58),2))))))</f>
      </c>
      <c r="BK58" s="97"/>
      <c r="BL58" s="55">
        <f>IF(OR(W59="Error",AA59="Error",AE59="Error",AI59="Error",AM59="Error",AQ59="Error",AU59="Error",AY59="Error",BC59="Error",BG59="Error"),"Error",IF(COUNT(W59,AA59,AE59,AI59,AM59,AQ59,AU59,AY59,BC59,BG59)=0,"",SUM(W59,AA59,AE59,AI59,AM59,AQ59,AU59,AY59,BC59,BG59)))</f>
        <v>15</v>
      </c>
      <c r="BM58" s="56">
        <f>IF(OR(X59="Error",AB59="Error",AF59="Error",AJ59="Error",AN59="Error",AR59="Error",AV59="Error",AZ59="Error",BD59="Error",BH59="Error"),"Error",IF(COUNT(X59,AB59,AF59,AJ59,AN59,AR59,AV59,AZ59,BD59,BH59)=0,"",SUM(X59,AB59,AF59,AJ59,AN59,AR59,AV59,AZ59,BD59,BH59)))</f>
        <v>0</v>
      </c>
      <c r="BN58" s="57">
        <f>IF(COUNT(Z59,AD59,AH59,AL59,AP59,AT59,AX59,BB59,BF59,BJ59)=0,"",ROUND(AVERAGE(Z59,AD59,AH59,AL59,AP59,AT59,AX59,BB59,BF59,BJ59),2))</f>
        <v>5</v>
      </c>
    </row>
    <row r="59" spans="1:66" ht="22.5" customHeight="1">
      <c r="A59" s="323" t="s">
        <v>141</v>
      </c>
      <c r="B59" s="560">
        <v>5</v>
      </c>
      <c r="C59" s="561"/>
      <c r="D59" s="562"/>
      <c r="E59" s="549"/>
      <c r="F59" s="550"/>
      <c r="G59" s="550"/>
      <c r="H59" s="550"/>
      <c r="I59" s="551"/>
      <c r="J59" s="574"/>
      <c r="K59" s="575"/>
      <c r="L59" s="575"/>
      <c r="M59" s="576"/>
      <c r="N59" s="572"/>
      <c r="O59" s="454"/>
      <c r="P59" s="483"/>
      <c r="Q59" s="484"/>
      <c r="R59" s="485"/>
      <c r="S59" s="287"/>
      <c r="T59" s="290"/>
      <c r="U59" s="516" t="s">
        <v>51</v>
      </c>
      <c r="V59" s="517"/>
      <c r="W59" s="59">
        <f>IF(AND(W56="",W57="",W58=""),"",IF(OR(W56&lt;0,W57&lt;0,W58&lt;0),"Error",SUM(W56:W58)))</f>
        <v>15</v>
      </c>
      <c r="X59" s="60">
        <f>IF(AND(X56="",X57="",X58=""),"",IF(OR(X56&lt;0,X57&lt;0,X58&lt;0),"Error",SUM(X56:X58)))</f>
        <v>0</v>
      </c>
      <c r="Y59" s="43">
        <f>IF(AND(Y56="",Y57="",Y58=""),"",ROUND(SUM(Y56:Y58),2))</f>
        <v>2554100</v>
      </c>
      <c r="Z59" s="44">
        <f>IF(COUNT(Z56:Z58)=0,"",ROUND(AVERAGE(Z56:Z58),2))</f>
        <v>5</v>
      </c>
      <c r="AA59" s="59">
        <f>IF(AND(AA56="",AA57="",AA58=""),"",IF(OR(AA56&lt;0,AA57&lt;0,AA58&lt;0),"Error",SUM(AA56:AA58)))</f>
      </c>
      <c r="AB59" s="60">
        <f>IF(AND(AB56="",AB57="",AB58=""),"",IF(OR(AB56&lt;0,AB57&lt;0,AB58&lt;0),"Error",SUM(AB56:AB58)))</f>
      </c>
      <c r="AC59" s="43">
        <f>IF(AND(AC56="",AC57="",AC58=""),"",ROUND(SUM(AC56:AC58),2))</f>
      </c>
      <c r="AD59" s="44">
        <f>IF(COUNT(AD56:AD58)=0,"",ROUND(AVERAGE(AD56:AD58),2))</f>
      </c>
      <c r="AE59" s="59">
        <f>IF(AND(AE56="",AE57="",AE58=""),"",IF(OR(AE56&lt;0,AE57&lt;0,AE58&lt;0),"Error",SUM(AE56:AE58)))</f>
      </c>
      <c r="AF59" s="60">
        <f>IF(AND(AF56="",AF57="",AF58=""),"",IF(OR(AF56&lt;0,AF57&lt;0,AF58&lt;0),"Error",SUM(AF56:AF58)))</f>
      </c>
      <c r="AG59" s="43">
        <f>IF(AND(AG56="",AG57="",AG58=""),"",ROUND(SUM(AG56:AG58),2))</f>
      </c>
      <c r="AH59" s="44">
        <f>IF(COUNT(AH56:AH58)=0,"",ROUND(AVERAGE(AH56:AH58),2))</f>
      </c>
      <c r="AI59" s="59">
        <f>IF(AND(AI56="",AI57="",AI58=""),"",IF(OR(AI56&lt;0,AI57&lt;0,AI58&lt;0),"Error",SUM(AI56:AI58)))</f>
      </c>
      <c r="AJ59" s="60">
        <f>IF(AND(AJ56="",AJ57="",AJ58=""),"",IF(OR(AJ56&lt;0,AJ57&lt;0,AJ58&lt;0),"Error",SUM(AJ56:AJ58)))</f>
      </c>
      <c r="AK59" s="43">
        <f>IF(AND(AK56="",AK57="",AK58=""),"",ROUND(SUM(AK56:AK58),2))</f>
      </c>
      <c r="AL59" s="44">
        <f>IF(COUNT(AL56:AL58)=0,"",ROUND(AVERAGE(AL56:AL58),2))</f>
      </c>
      <c r="AM59" s="59">
        <f>IF(AND(AM56="",AM57="",AM58=""),"",IF(OR(AM56&lt;0,AM57&lt;0,AM58&lt;0),"Error",SUM(AM56:AM58)))</f>
      </c>
      <c r="AN59" s="60">
        <f>IF(AND(AN56="",AN57="",AN58=""),"",IF(OR(AN56&lt;0,AN57&lt;0,AN58&lt;0),"Error",SUM(AN56:AN58)))</f>
      </c>
      <c r="AO59" s="43">
        <f>IF(AND(AO56="",AO57="",AO58=""),"",ROUND(SUM(AO56:AO58),2))</f>
      </c>
      <c r="AP59" s="44">
        <f>IF(COUNT(AP56:AP58)=0,"",ROUND(AVERAGE(AP56:AP58),2))</f>
      </c>
      <c r="AQ59" s="59">
        <f>IF(AND(AQ56="",AQ57="",AQ58=""),"",IF(OR(AQ56&lt;0,AQ57&lt;0,AQ58&lt;0),"Error",SUM(AQ56:AQ58)))</f>
      </c>
      <c r="AR59" s="60">
        <f>IF(AND(AR56="",AR57="",AR58=""),"",IF(OR(AR56&lt;0,AR57&lt;0,AR58&lt;0),"Error",SUM(AR56:AR58)))</f>
      </c>
      <c r="AS59" s="43">
        <f>IF(AND(AS56="",AS57="",AS58=""),"",ROUND(SUM(AS56:AS58),2))</f>
      </c>
      <c r="AT59" s="44">
        <f>IF(COUNT(AT56:AT58)=0,"",ROUND(AVERAGE(AT56:AT58),2))</f>
      </c>
      <c r="AU59" s="59">
        <f>IF(AND(AU56="",AU57="",AU58=""),"",IF(OR(AU56&lt;0,AU57&lt;0,AU58&lt;0),"Error",SUM(AU56:AU58)))</f>
      </c>
      <c r="AV59" s="60">
        <f>IF(AND(AV56="",AV57="",AV58=""),"",IF(OR(AV56&lt;0,AV57&lt;0,AV58&lt;0),"Error",SUM(AV56:AV58)))</f>
      </c>
      <c r="AW59" s="43">
        <f>IF(AND(AW56="",AW57="",AW58=""),"",ROUND(SUM(AW56:AW58),2))</f>
      </c>
      <c r="AX59" s="44">
        <f>IF(COUNT(AX56:AX58)=0,"",ROUND(AVERAGE(AX56:AX58),2))</f>
      </c>
      <c r="AY59" s="59">
        <f>IF(AND(AY56="",AY57="",AY58=""),"",IF(OR(AY56&lt;0,AY57&lt;0,AY58&lt;0),"Error",SUM(AY56:AY58)))</f>
      </c>
      <c r="AZ59" s="60">
        <f>IF(AND(AZ56="",AZ57="",AZ58=""),"",IF(OR(AZ56&lt;0,AZ57&lt;0,AZ58&lt;0),"Error",SUM(AZ56:AZ58)))</f>
      </c>
      <c r="BA59" s="43">
        <f>IF(AND(BA56="",BA57="",BA58=""),"",ROUND(SUM(BA56:BA58),2))</f>
      </c>
      <c r="BB59" s="44">
        <f>IF(COUNT(BB56:BB58)=0,"",ROUND(AVERAGE(BB56:BB58),2))</f>
      </c>
      <c r="BC59" s="59">
        <f>IF(AND(BC56="",BC57="",BC58=""),"",IF(OR(BC56&lt;0,BC57&lt;0,BC58&lt;0),"Error",SUM(BC56:BC58)))</f>
      </c>
      <c r="BD59" s="60">
        <f>IF(AND(BD56="",BD57="",BD58=""),"",IF(OR(BD56&lt;0,BD57&lt;0,BD58&lt;0),"Error",SUM(BD56:BD58)))</f>
      </c>
      <c r="BE59" s="43">
        <f>IF(AND(BE56="",BE57="",BE58=""),"",ROUND(SUM(BE56:BE58),2))</f>
      </c>
      <c r="BF59" s="44">
        <f>IF(COUNT(BF56:BF58)=0,"",ROUND(AVERAGE(BF56:BF58),2))</f>
      </c>
      <c r="BG59" s="59">
        <f>IF(AND(BG56="",BG57="",BG58=""),"",IF(OR(BG56&lt;0,BG57&lt;0,BG58&lt;0),"Error",SUM(BG56:BG58)))</f>
      </c>
      <c r="BH59" s="60">
        <f>IF(AND(BH56="",BH57="",BH58=""),"",IF(OR(BH56&lt;0,BH57&lt;0,BH58&lt;0),"Error",SUM(BH56:BH58)))</f>
      </c>
      <c r="BI59" s="43">
        <f>IF(AND(BI56="",BI57="",BI58=""),"",ROUND(SUM(BI56:BI58),2))</f>
      </c>
      <c r="BJ59" s="44">
        <f>IF(COUNT(BJ56:BJ58)=0,"",ROUND(AVERAGE(BJ56:BJ58),2))</f>
      </c>
      <c r="BK59" s="98"/>
      <c r="BL59" s="510">
        <f>IF(COUNT(Y59,AC59,AG59,AK59,AO59,AS59,AW59,BA59,BE59,BI59)=0,"",IF(OR(Y59&lt;1,AC59&lt;1,AG59&lt;1,AK59&lt;1,AO59&lt;1,AS59&lt;1,AW59&lt;1,BA59&lt;1,BE59&lt;1,BI59&lt;1),"Error",SUM(Y59,AC59,AG59,AK59,AO59,AS59,AW59,BA59,BE59,BI59)))</f>
        <v>2554100</v>
      </c>
      <c r="BM59" s="510"/>
      <c r="BN59" s="510"/>
    </row>
    <row r="60" spans="1:20" ht="22.5" customHeight="1">
      <c r="A60" s="325"/>
      <c r="B60" s="563"/>
      <c r="C60" s="564"/>
      <c r="D60" s="565"/>
      <c r="E60" s="549"/>
      <c r="F60" s="550"/>
      <c r="G60" s="550"/>
      <c r="H60" s="550"/>
      <c r="I60" s="551"/>
      <c r="J60" s="577"/>
      <c r="K60" s="578"/>
      <c r="L60" s="578"/>
      <c r="M60" s="579"/>
      <c r="N60" s="573"/>
      <c r="O60" s="426"/>
      <c r="P60" s="486"/>
      <c r="Q60" s="487"/>
      <c r="R60" s="488"/>
      <c r="S60" s="288"/>
      <c r="T60" s="292"/>
    </row>
    <row r="61" spans="1:63" ht="22.5" customHeight="1">
      <c r="A61" s="323" t="s">
        <v>142</v>
      </c>
      <c r="B61" s="560">
        <v>5</v>
      </c>
      <c r="C61" s="561"/>
      <c r="D61" s="562"/>
      <c r="E61" s="549"/>
      <c r="F61" s="550"/>
      <c r="G61" s="550"/>
      <c r="H61" s="550"/>
      <c r="I61" s="551"/>
      <c r="J61" s="574"/>
      <c r="K61" s="575"/>
      <c r="L61" s="575"/>
      <c r="M61" s="576"/>
      <c r="N61" s="572"/>
      <c r="O61" s="454"/>
      <c r="P61" s="483"/>
      <c r="Q61" s="484"/>
      <c r="R61" s="485"/>
      <c r="S61" s="287"/>
      <c r="T61" s="290"/>
      <c r="U61" s="68" t="s">
        <v>53</v>
      </c>
      <c r="V61" s="69"/>
      <c r="W61" s="480">
        <v>11</v>
      </c>
      <c r="X61" s="481"/>
      <c r="Y61" s="481"/>
      <c r="Z61" s="482"/>
      <c r="AA61" s="480">
        <v>12</v>
      </c>
      <c r="AB61" s="481"/>
      <c r="AC61" s="481"/>
      <c r="AD61" s="482"/>
      <c r="AE61" s="480">
        <v>13</v>
      </c>
      <c r="AF61" s="481"/>
      <c r="AG61" s="481"/>
      <c r="AH61" s="482"/>
      <c r="AI61" s="480">
        <v>14</v>
      </c>
      <c r="AJ61" s="481"/>
      <c r="AK61" s="481"/>
      <c r="AL61" s="482"/>
      <c r="AM61" s="480">
        <v>15</v>
      </c>
      <c r="AN61" s="481"/>
      <c r="AO61" s="481"/>
      <c r="AP61" s="482"/>
      <c r="AQ61" s="480">
        <v>16</v>
      </c>
      <c r="AR61" s="481"/>
      <c r="AS61" s="481"/>
      <c r="AT61" s="482"/>
      <c r="AU61" s="480">
        <v>17</v>
      </c>
      <c r="AV61" s="481"/>
      <c r="AW61" s="481"/>
      <c r="AX61" s="482"/>
      <c r="AY61" s="480">
        <v>18</v>
      </c>
      <c r="AZ61" s="481"/>
      <c r="BA61" s="481"/>
      <c r="BB61" s="482"/>
      <c r="BC61" s="480">
        <v>19</v>
      </c>
      <c r="BD61" s="481"/>
      <c r="BE61" s="481"/>
      <c r="BF61" s="482"/>
      <c r="BG61" s="480">
        <v>20</v>
      </c>
      <c r="BH61" s="481"/>
      <c r="BI61" s="481"/>
      <c r="BJ61" s="482"/>
      <c r="BK61" s="104"/>
    </row>
    <row r="62" spans="1:71" ht="22.5" customHeight="1">
      <c r="A62" s="325"/>
      <c r="B62" s="563"/>
      <c r="C62" s="564"/>
      <c r="D62" s="565"/>
      <c r="E62" s="549"/>
      <c r="F62" s="550"/>
      <c r="G62" s="550"/>
      <c r="H62" s="550"/>
      <c r="I62" s="551"/>
      <c r="J62" s="577"/>
      <c r="K62" s="578"/>
      <c r="L62" s="578"/>
      <c r="M62" s="579"/>
      <c r="N62" s="573"/>
      <c r="O62" s="426"/>
      <c r="P62" s="486"/>
      <c r="Q62" s="487"/>
      <c r="R62" s="488"/>
      <c r="S62" s="288"/>
      <c r="T62" s="292"/>
      <c r="U62" s="110"/>
      <c r="V62" s="49"/>
      <c r="W62" s="85" t="s">
        <v>46</v>
      </c>
      <c r="X62" s="50" t="s">
        <v>47</v>
      </c>
      <c r="Y62" s="474" t="s">
        <v>58</v>
      </c>
      <c r="Z62" s="475"/>
      <c r="AA62" s="85" t="s">
        <v>46</v>
      </c>
      <c r="AB62" s="50" t="s">
        <v>47</v>
      </c>
      <c r="AC62" s="474" t="s">
        <v>58</v>
      </c>
      <c r="AD62" s="475"/>
      <c r="AE62" s="85" t="s">
        <v>46</v>
      </c>
      <c r="AF62" s="50" t="s">
        <v>47</v>
      </c>
      <c r="AG62" s="474" t="s">
        <v>58</v>
      </c>
      <c r="AH62" s="475"/>
      <c r="AI62" s="85" t="s">
        <v>46</v>
      </c>
      <c r="AJ62" s="50" t="s">
        <v>47</v>
      </c>
      <c r="AK62" s="474" t="s">
        <v>58</v>
      </c>
      <c r="AL62" s="475"/>
      <c r="AM62" s="85" t="s">
        <v>46</v>
      </c>
      <c r="AN62" s="50" t="s">
        <v>47</v>
      </c>
      <c r="AO62" s="474" t="s">
        <v>58</v>
      </c>
      <c r="AP62" s="475"/>
      <c r="AQ62" s="85" t="s">
        <v>46</v>
      </c>
      <c r="AR62" s="50" t="s">
        <v>47</v>
      </c>
      <c r="AS62" s="474" t="s">
        <v>58</v>
      </c>
      <c r="AT62" s="475"/>
      <c r="AU62" s="85" t="s">
        <v>46</v>
      </c>
      <c r="AV62" s="50" t="s">
        <v>47</v>
      </c>
      <c r="AW62" s="474" t="s">
        <v>58</v>
      </c>
      <c r="AX62" s="475"/>
      <c r="AY62" s="85" t="s">
        <v>46</v>
      </c>
      <c r="AZ62" s="50" t="s">
        <v>47</v>
      </c>
      <c r="BA62" s="474" t="s">
        <v>58</v>
      </c>
      <c r="BB62" s="475"/>
      <c r="BC62" s="85" t="s">
        <v>46</v>
      </c>
      <c r="BD62" s="50" t="s">
        <v>47</v>
      </c>
      <c r="BE62" s="474" t="s">
        <v>58</v>
      </c>
      <c r="BF62" s="475"/>
      <c r="BG62" s="85" t="s">
        <v>46</v>
      </c>
      <c r="BH62" s="50" t="s">
        <v>47</v>
      </c>
      <c r="BI62" s="474" t="s">
        <v>58</v>
      </c>
      <c r="BJ62" s="475"/>
      <c r="BK62" s="96"/>
      <c r="BP62" s="65">
        <f>IF(AND(E64="",F64="",G64="",H64=""),"",IF(AND(C64="",J63="",E64&lt;&gt;""),"incorrect",IF(AND(E64="",F64&lt;&gt;""),"space",IF(AND(F64&lt;&gt;"",E64&gt;F64),"ascending",IF(OR(E64="",E64=1,E64=2,E64=3,E64=4,E64=5),"","Error")))))</f>
      </c>
      <c r="BQ62" s="65">
        <f>IF(AND(F64&lt;&gt;"",E64=F64),"ใส่เลขข้อซ้ำ",IF(AND(F64="",G64&lt;&gt;""),"space",IF(AND(G64&lt;&gt;"",F64&gt;G64),"ascending",IF(OR(F64="",F64=2,F64=3,F64=4,F64=5),"","Error"))))</f>
      </c>
      <c r="BR62" s="65">
        <f>IF(AND(G64&lt;&gt;"",OR(E64=G64,F64=G64)),"ใส่เลขข้อซ้ำ",IF(AND(G64="",H64&lt;&gt;""),"space",IF(AND(H64&lt;&gt;"",G64&gt;H64),"ascending",IF(OR(G64="",G64=3,G64=4,G64=5),"","Error"))))</f>
      </c>
      <c r="BS62" s="65">
        <f>IF(AND(H64&lt;&gt;"",OR(E64=H64,F64=H64,G64=H64)),"ใส่เลขข้อซ้ำ",IF(OR(H64="",H64=4,H64=5),"","Error"))</f>
      </c>
    </row>
    <row r="63" spans="1:71" ht="22.5" customHeight="1">
      <c r="A63" s="440" t="s">
        <v>71</v>
      </c>
      <c r="B63" s="326" t="str">
        <f>IF(C64="","",IF(OR(C64=1,C64=2,C64=3,C64=4),"ดำเนินการ",IF(C64=5,"ดำเนินการครบ","Error")))</f>
        <v>ดำเนินการ</v>
      </c>
      <c r="C63" s="327"/>
      <c r="D63" s="328"/>
      <c r="E63" s="329" t="str">
        <f>IF(J63="","",IF(OR(J63=0,J63=1,J63=2,J63=3,J63=4),"มีการดำเนินการ",IF(J63=5,"มีการดำเนินการครบ","Error")))</f>
        <v>มีการดำเนินการ</v>
      </c>
      <c r="F63" s="330"/>
      <c r="G63" s="330"/>
      <c r="H63" s="330"/>
      <c r="I63" s="330"/>
      <c r="J63" s="285">
        <v>4</v>
      </c>
      <c r="K63" s="331" t="str">
        <f>IF(J63="","",IF(OR(J63=1,J63=2,J63=3,J63=4),"ข้อ ได้แก่ข้อที่",IF(OR(J63=0,J63=5),"ข้อ","ใส่เลขผิด")))</f>
        <v>ข้อ ได้แก่ข้อที่</v>
      </c>
      <c r="L63" s="331"/>
      <c r="M63" s="332"/>
      <c r="N63" s="358">
        <f>IF(AND(C64="",J63="",E65=""),"",IF(OR(E65&lt;&gt;"",B63="Error"),"Error",IF(AND(OR(C64=1,C64=2,C64=3,C64=4,C64=5),OR(J63=0,J63=1,J63=2,J63=3,J63=4,J63=5)),LOOKUP(J63,{0,1,2,3,4,5},{0,1,2,3,4,5}),"Error")))</f>
        <v>4</v>
      </c>
      <c r="O63" s="424"/>
      <c r="P63" s="400" t="str">
        <f>IF(OR(C64="",B63="Error",E63="Error",E65&lt;&gt;""),"",IF(C64&lt;=J63,"ü","û"))</f>
        <v>ü</v>
      </c>
      <c r="Q63" s="401"/>
      <c r="R63" s="402"/>
      <c r="S63" s="287"/>
      <c r="T63" s="290">
        <f>IF(AND(C64="",J63&lt;&gt;""),"ต้องใส่จำนวนข้อเป้าหมาย",IF(AND(OR(C64="",C64=1,C64=2,C64=3,C64=4,C64=5),OR(J63="",J63=0,J63=1,J63=2,J63=3,J63=4,J63=5)),"",IF(AND(C64="",J63=""),"","ใส่เลขผิด")))</f>
      </c>
      <c r="U63" s="40" t="s">
        <v>48</v>
      </c>
      <c r="V63" s="39">
        <v>60000</v>
      </c>
      <c r="W63" s="52"/>
      <c r="X63" s="52"/>
      <c r="Y63" s="46"/>
      <c r="Z63" s="61">
        <f>IF(Y63="","",IF(AND(W63="",X63=""),"",IF(OR(W63&lt;0,X63&lt;0),"Error",IF(ROUND(((Y63/(W63+X63))*5/$V63),2)&gt;5,5,IF(ROUND(((Y63/(W63+X63))*5/$V63),2)&lt;0,"Error",ROUND(((Y63/(W63+X63))*5/$V63),2))))))</f>
      </c>
      <c r="AA63" s="52"/>
      <c r="AB63" s="52"/>
      <c r="AC63" s="46"/>
      <c r="AD63" s="61">
        <f>IF(AC63="","",IF(AND(AA63="",AB63=""),"",IF(OR(AA63&lt;0,AB63&lt;0),"Error",IF(ROUND(((AC63/(AA63+AB63))*5/$V63),2)&gt;5,5,IF(ROUND(((AC63/(AA63+AB63))*5/$V63),2)&lt;0,"Error",ROUND(((AC63/(AA63+AB63))*5/$V63),2))))))</f>
      </c>
      <c r="AE63" s="52"/>
      <c r="AF63" s="52"/>
      <c r="AG63" s="46"/>
      <c r="AH63" s="61">
        <f>IF(AG63="","",IF(AND(AE63="",AF63=""),"",IF(OR(AE63&lt;0,AF63&lt;0),"Error",IF(ROUND(((AG63/(AE63+AF63))*5/$V63),2)&gt;5,5,IF(ROUND(((AG63/(AE63+AF63))*5/$V63),2)&lt;0,"Error",ROUND(((AG63/(AE63+AF63))*5/$V63),2))))))</f>
      </c>
      <c r="AI63" s="52"/>
      <c r="AJ63" s="52"/>
      <c r="AK63" s="46"/>
      <c r="AL63" s="61">
        <f>IF(AK63="","",IF(AND(AI63="",AJ63=""),"",IF(OR(AI63&lt;0,AJ63&lt;0),"Error",IF(ROUND(((AK63/(AI63+AJ63))*5/$V63),2)&gt;5,5,IF(ROUND(((AK63/(AI63+AJ63))*5/$V63),2)&lt;0,"Error",ROUND(((AK63/(AI63+AJ63))*5/$V63),2))))))</f>
      </c>
      <c r="AM63" s="52"/>
      <c r="AN63" s="52"/>
      <c r="AO63" s="46"/>
      <c r="AP63" s="61">
        <f>IF(AO63="","",IF(AND(AM63="",AN63=""),"",IF(OR(AM63&lt;0,AN63&lt;0),"Error",IF(ROUND(((AO63/(AM63+AN63))*5/$V63),2)&gt;5,5,IF(ROUND(((AO63/(AM63+AN63))*5/$V63),2)&lt;0,"Error",ROUND(((AO63/(AM63+AN63))*5/$V63),2))))))</f>
      </c>
      <c r="AQ63" s="52"/>
      <c r="AR63" s="52"/>
      <c r="AS63" s="46"/>
      <c r="AT63" s="61">
        <f>IF(AS63="","",IF(AND(AQ63="",AR63=""),"",IF(OR(AQ63&lt;0,AR63&lt;0),"Error",IF(ROUND(((AS63/(AQ63+AR63))*5/$V63),2)&gt;5,5,IF(ROUND(((AS63/(AQ63+AR63))*5/$V63),2)&lt;0,"Error",ROUND(((AS63/(AQ63+AR63))*5/$V63),2))))))</f>
      </c>
      <c r="AU63" s="52"/>
      <c r="AV63" s="52"/>
      <c r="AW63" s="46"/>
      <c r="AX63" s="61">
        <f>IF(AW63="","",IF(AND(AU63="",AV63=""),"",IF(OR(AU63&lt;0,AV63&lt;0),"Error",IF(ROUND(((AW63/(AU63+AV63))*5/$V63),2)&gt;5,5,IF(ROUND(((AW63/(AU63+AV63))*5/$V63),2)&lt;0,"Error",ROUND(((AW63/(AU63+AV63))*5/$V63),2))))))</f>
      </c>
      <c r="AY63" s="52"/>
      <c r="AZ63" s="52"/>
      <c r="BA63" s="46"/>
      <c r="BB63" s="61">
        <f>IF(BA63="","",IF(AND(AY63="",AZ63=""),"",IF(OR(AY63&lt;0,AZ63&lt;0),"Error",IF(ROUND(((BA63/(AY63+AZ63))*5/$V63),2)&gt;5,5,IF(ROUND(((BA63/(AY63+AZ63))*5/$V63),2)&lt;0,"Error",ROUND(((BA63/(AY63+AZ63))*5/$V63),2))))))</f>
      </c>
      <c r="BC63" s="52"/>
      <c r="BD63" s="52"/>
      <c r="BE63" s="46"/>
      <c r="BF63" s="61">
        <f>IF(BE63="","",IF(AND(BC63="",BD63=""),"",IF(OR(BC63&lt;0,BD63&lt;0),"Error",IF(ROUND(((BE63/(BC63+BD63))*5/$V63),2)&gt;5,5,IF(ROUND(((BE63/(BC63+BD63))*5/$V63),2)&lt;0,"Error",ROUND(((BE63/(BC63+BD63))*5/$V63),2))))))</f>
      </c>
      <c r="BG63" s="52"/>
      <c r="BH63" s="52"/>
      <c r="BI63" s="46"/>
      <c r="BJ63" s="61">
        <f>IF(BI63="","",IF(AND(BG63="",BH63=""),"",IF(OR(BG63&lt;0,BH63&lt;0),"Error",IF(ROUND(((BI63/(BG63+BH63))*5/$V63),2)&gt;5,5,IF(ROUND(((BI63/(BG63+BH63))*5/$V63),2)&lt;0,"Error",ROUND(((BI63/(BG63+BH63))*5/$V63),2))))))</f>
      </c>
      <c r="BK63" s="97"/>
      <c r="BP63" s="85">
        <f>IF(COUNTIF(BP62:BS62,"Error")&gt;0,"Error","")</f>
      </c>
      <c r="BQ63" s="67">
        <f>COUNT(E64:H64)</f>
        <v>4</v>
      </c>
      <c r="BR63" s="446">
        <f>IF(COUNTIF(BP62,"incorrect")&gt;0,"ให้ใส่เป้าหมายและผลที่ดำเนินการได้ก่อน",IF(COUNTIF(BP62:BS62,"space")&gt;0,"ให้ใส่เลขข้อโดยไม่ข้ามช่องว่าง",IF(COUNTIF(BP62:BS62,"ascending")&gt;0,"ให้เรียงเลขข้อจากน้อยไปมาก",IF(COUNTIF(BQ62:BS62,"ใส่เลขข้อซ้ำ")&gt;0,"ใส่เลขข้อซ้ำ",""))))</f>
      </c>
      <c r="BS63" s="446"/>
    </row>
    <row r="64" spans="1:63" ht="22.5" customHeight="1">
      <c r="A64" s="455"/>
      <c r="B64" s="81"/>
      <c r="C64" s="146">
        <v>3</v>
      </c>
      <c r="D64" s="74" t="str">
        <f>IF(C64="","",IF(OR(C64=1,C64=2,C64=3,C64=4,C64=5),"ข้อ",""))</f>
        <v>ข้อ</v>
      </c>
      <c r="E64" s="114">
        <v>1</v>
      </c>
      <c r="F64" s="115">
        <v>2</v>
      </c>
      <c r="G64" s="115">
        <v>3</v>
      </c>
      <c r="H64" s="115">
        <v>4</v>
      </c>
      <c r="I64" s="363"/>
      <c r="J64" s="363"/>
      <c r="K64" s="363"/>
      <c r="L64" s="363"/>
      <c r="M64" s="364"/>
      <c r="N64" s="359"/>
      <c r="O64" s="425"/>
      <c r="P64" s="403"/>
      <c r="Q64" s="404"/>
      <c r="R64" s="405"/>
      <c r="S64" s="345"/>
      <c r="T64" s="291"/>
      <c r="U64" s="41" t="s">
        <v>49</v>
      </c>
      <c r="V64" s="38">
        <v>50000</v>
      </c>
      <c r="W64" s="53"/>
      <c r="X64" s="53"/>
      <c r="Y64" s="47"/>
      <c r="Z64" s="62">
        <f>IF(Y64="","",IF(AND(W64="",X64=""),"",IF(OR(W64&lt;0,X64&lt;0),"Error",IF(ROUND(((Y64/(W64+X64))*5/$V64),2)&gt;5,5,IF(ROUND(((Y64/(W64+X64))*5/$V64),2)&lt;0,"Error",ROUND(((Y64/(W64+X64))*5/$V64),2))))))</f>
      </c>
      <c r="AA64" s="53"/>
      <c r="AB64" s="53"/>
      <c r="AC64" s="47"/>
      <c r="AD64" s="62">
        <f>IF(AC64="","",IF(AND(AA64="",AB64=""),"",IF(OR(AA64&lt;0,AB64&lt;0),"Error",IF(ROUND(((AC64/(AA64+AB64))*5/$V64),2)&gt;5,5,IF(ROUND(((AC64/(AA64+AB64))*5/$V64),2)&lt;0,"Error",ROUND(((AC64/(AA64+AB64))*5/$V64),2))))))</f>
      </c>
      <c r="AE64" s="53"/>
      <c r="AF64" s="53"/>
      <c r="AG64" s="47"/>
      <c r="AH64" s="62">
        <f>IF(AG64="","",IF(AND(AE64="",AF64=""),"",IF(OR(AE64&lt;0,AF64&lt;0),"Error",IF(ROUND(((AG64/(AE64+AF64))*5/$V64),2)&gt;5,5,IF(ROUND(((AG64/(AE64+AF64))*5/$V64),2)&lt;0,"Error",ROUND(((AG64/(AE64+AF64))*5/$V64),2))))))</f>
      </c>
      <c r="AI64" s="53"/>
      <c r="AJ64" s="53"/>
      <c r="AK64" s="47"/>
      <c r="AL64" s="62">
        <f>IF(AK64="","",IF(AND(AI64="",AJ64=""),"",IF(OR(AI64&lt;0,AJ64&lt;0),"Error",IF(ROUND(((AK64/(AI64+AJ64))*5/$V64),2)&gt;5,5,IF(ROUND(((AK64/(AI64+AJ64))*5/$V64),2)&lt;0,"Error",ROUND(((AK64/(AI64+AJ64))*5/$V64),2))))))</f>
      </c>
      <c r="AM64" s="53"/>
      <c r="AN64" s="53"/>
      <c r="AO64" s="47"/>
      <c r="AP64" s="62">
        <f>IF(AO64="","",IF(AND(AM64="",AN64=""),"",IF(OR(AM64&lt;0,AN64&lt;0),"Error",IF(ROUND(((AO64/(AM64+AN64))*5/$V64),2)&gt;5,5,IF(ROUND(((AO64/(AM64+AN64))*5/$V64),2)&lt;0,"Error",ROUND(((AO64/(AM64+AN64))*5/$V64),2))))))</f>
      </c>
      <c r="AQ64" s="53"/>
      <c r="AR64" s="53"/>
      <c r="AS64" s="47"/>
      <c r="AT64" s="62">
        <f>IF(AS64="","",IF(AND(AQ64="",AR64=""),"",IF(OR(AQ64&lt;0,AR64&lt;0),"Error",IF(ROUND(((AS64/(AQ64+AR64))*5/$V64),2)&gt;5,5,IF(ROUND(((AS64/(AQ64+AR64))*5/$V64),2)&lt;0,"Error",ROUND(((AS64/(AQ64+AR64))*5/$V64),2))))))</f>
      </c>
      <c r="AU64" s="53"/>
      <c r="AV64" s="53"/>
      <c r="AW64" s="47"/>
      <c r="AX64" s="62">
        <f>IF(AW64="","",IF(AND(AU64="",AV64=""),"",IF(OR(AU64&lt;0,AV64&lt;0),"Error",IF(ROUND(((AW64/(AU64+AV64))*5/$V64),2)&gt;5,5,IF(ROUND(((AW64/(AU64+AV64))*5/$V64),2)&lt;0,"Error",ROUND(((AW64/(AU64+AV64))*5/$V64),2))))))</f>
      </c>
      <c r="AY64" s="53"/>
      <c r="AZ64" s="53"/>
      <c r="BA64" s="47"/>
      <c r="BB64" s="62">
        <f>IF(BA64="","",IF(AND(AY64="",AZ64=""),"",IF(OR(AY64&lt;0,AZ64&lt;0),"Error",IF(ROUND(((BA64/(AY64+AZ64))*5/$V64),2)&gt;5,5,IF(ROUND(((BA64/(AY64+AZ64))*5/$V64),2)&lt;0,"Error",ROUND(((BA64/(AY64+AZ64))*5/$V64),2))))))</f>
      </c>
      <c r="BC64" s="53"/>
      <c r="BD64" s="53"/>
      <c r="BE64" s="47"/>
      <c r="BF64" s="62">
        <f>IF(BE64="","",IF(AND(BC64="",BD64=""),"",IF(OR(BC64&lt;0,BD64&lt;0),"Error",IF(ROUND(((BE64/(BC64+BD64))*5/$V64),2)&gt;5,5,IF(ROUND(((BE64/(BC64+BD64))*5/$V64),2)&lt;0,"Error",ROUND(((BE64/(BC64+BD64))*5/$V64),2))))))</f>
      </c>
      <c r="BG64" s="53"/>
      <c r="BH64" s="53"/>
      <c r="BI64" s="47"/>
      <c r="BJ64" s="62">
        <f>IF(BI64="","",IF(AND(BG64="",BH64=""),"",IF(OR(BG64&lt;0,BH64&lt;0),"Error",IF(ROUND(((BI64/(BG64+BH64))*5/$V64),2)&gt;5,5,IF(ROUND(((BI64/(BG64+BH64))*5/$V64),2)&lt;0,"Error",ROUND(((BI64/(BG64+BH64))*5/$V64),2))))))</f>
      </c>
      <c r="BK64" s="97"/>
    </row>
    <row r="65" spans="1:71" ht="45" customHeight="1">
      <c r="A65" s="456"/>
      <c r="B65" s="365"/>
      <c r="C65" s="366"/>
      <c r="D65" s="367"/>
      <c r="E65" s="341">
        <f>IF(OR(B63="Error",E63="Error"),"",IF(AND(C64&lt;&gt;"",J63=""),"ให้ใส่จำนวนข้อที่ดำเนินการได้ทั้งหมด",IF(AND(J63=5,E64="",F64="",G64="",H64=""),"",IF(AND(OR(J63=0,J63=5),OR(E64&lt;&gt;"",F64&lt;&gt;"",G64&lt;&gt;"",H64&lt;&gt;"")),"ไม่ต้องใส่เลขข้อที่ได้ดำเนินการ",IF(AND(J63&lt;5,J63&gt;0,C64&lt;&gt;"",E64="",F64="",G64="",H64=""),"ใส่เลขข้อที่ได้ดำเนินการ",IF(BR63&lt;&gt;"",BR63,IF(BP63="Error","ใส่เลขผิด",IF(J63&lt;&gt;BQ63,"จำนวนข้อที่ดำเนินการไม่เท่ากับข้อที่ระบุ",""))))))))</f>
      </c>
      <c r="F65" s="466"/>
      <c r="G65" s="466"/>
      <c r="H65" s="466"/>
      <c r="I65" s="466"/>
      <c r="J65" s="466"/>
      <c r="K65" s="466"/>
      <c r="L65" s="466"/>
      <c r="M65" s="467"/>
      <c r="N65" s="360"/>
      <c r="O65" s="426"/>
      <c r="P65" s="406"/>
      <c r="Q65" s="407"/>
      <c r="R65" s="408"/>
      <c r="S65" s="288"/>
      <c r="T65" s="292"/>
      <c r="U65" s="42" t="s">
        <v>50</v>
      </c>
      <c r="V65" s="37">
        <v>25000</v>
      </c>
      <c r="W65" s="54"/>
      <c r="X65" s="54"/>
      <c r="Y65" s="48"/>
      <c r="Z65" s="63">
        <f>IF(Y65="","",IF(AND(W65="",X65=""),"",IF(OR(W65&lt;0,X65&lt;0),"Error",IF(ROUND(((Y65/(W65+X65))*5/$V65),2)&gt;5,5,IF(ROUND(((Y65/(W65+X65))*5/$V65),2)&lt;0,"Error",ROUND(((Y65/(W65+X65))*5/$V65),2))))))</f>
      </c>
      <c r="AA65" s="54"/>
      <c r="AB65" s="54"/>
      <c r="AC65" s="48"/>
      <c r="AD65" s="63">
        <f>IF(AC65="","",IF(AND(AA65="",AB65=""),"",IF(OR(AA65&lt;0,AB65&lt;0),"Error",IF(ROUND(((AC65/(AA65+AB65))*5/$V65),2)&gt;5,5,IF(ROUND(((AC65/(AA65+AB65))*5/$V65),2)&lt;0,"Error",ROUND(((AC65/(AA65+AB65))*5/$V65),2))))))</f>
      </c>
      <c r="AE65" s="54"/>
      <c r="AF65" s="54"/>
      <c r="AG65" s="48"/>
      <c r="AH65" s="63">
        <f>IF(AG65="","",IF(AND(AE65="",AF65=""),"",IF(OR(AE65&lt;0,AF65&lt;0),"Error",IF(ROUND(((AG65/(AE65+AF65))*5/$V65),2)&gt;5,5,IF(ROUND(((AG65/(AE65+AF65))*5/$V65),2)&lt;0,"Error",ROUND(((AG65/(AE65+AF65))*5/$V65),2))))))</f>
      </c>
      <c r="AI65" s="54"/>
      <c r="AJ65" s="54"/>
      <c r="AK65" s="48"/>
      <c r="AL65" s="63">
        <f>IF(AK65="","",IF(AND(AI65="",AJ65=""),"",IF(OR(AI65&lt;0,AJ65&lt;0),"Error",IF(ROUND(((AK65/(AI65+AJ65))*5/$V65),2)&gt;5,5,IF(ROUND(((AK65/(AI65+AJ65))*5/$V65),2)&lt;0,"Error",ROUND(((AK65/(AI65+AJ65))*5/$V65),2))))))</f>
      </c>
      <c r="AM65" s="54"/>
      <c r="AN65" s="54"/>
      <c r="AO65" s="48"/>
      <c r="AP65" s="63">
        <f>IF(AO65="","",IF(AND(AM65="",AN65=""),"",IF(OR(AM65&lt;0,AN65&lt;0),"Error",IF(ROUND(((AO65/(AM65+AN65))*5/$V65),2)&gt;5,5,IF(ROUND(((AO65/(AM65+AN65))*5/$V65),2)&lt;0,"Error",ROUND(((AO65/(AM65+AN65))*5/$V65),2))))))</f>
      </c>
      <c r="AQ65" s="54"/>
      <c r="AR65" s="54"/>
      <c r="AS65" s="48"/>
      <c r="AT65" s="63">
        <f>IF(AS65="","",IF(AND(AQ65="",AR65=""),"",IF(OR(AQ65&lt;0,AR65&lt;0),"Error",IF(ROUND(((AS65/(AQ65+AR65))*5/$V65),2)&gt;5,5,IF(ROUND(((AS65/(AQ65+AR65))*5/$V65),2)&lt;0,"Error",ROUND(((AS65/(AQ65+AR65))*5/$V65),2))))))</f>
      </c>
      <c r="AU65" s="54"/>
      <c r="AV65" s="54"/>
      <c r="AW65" s="48"/>
      <c r="AX65" s="63">
        <f>IF(AW65="","",IF(AND(AU65="",AV65=""),"",IF(OR(AU65&lt;0,AV65&lt;0),"Error",IF(ROUND(((AW65/(AU65+AV65))*5/$V65),2)&gt;5,5,IF(ROUND(((AW65/(AU65+AV65))*5/$V65),2)&lt;0,"Error",ROUND(((AW65/(AU65+AV65))*5/$V65),2))))))</f>
      </c>
      <c r="AY65" s="54"/>
      <c r="AZ65" s="54"/>
      <c r="BA65" s="48"/>
      <c r="BB65" s="63">
        <f>IF(BA65="","",IF(AND(AY65="",AZ65=""),"",IF(OR(AY65&lt;0,AZ65&lt;0),"Error",IF(ROUND(((BA65/(AY65+AZ65))*5/$V65),2)&gt;5,5,IF(ROUND(((BA65/(AY65+AZ65))*5/$V65),2)&lt;0,"Error",ROUND(((BA65/(AY65+AZ65))*5/$V65),2))))))</f>
      </c>
      <c r="BC65" s="54"/>
      <c r="BD65" s="54"/>
      <c r="BE65" s="48"/>
      <c r="BF65" s="63">
        <f>IF(BE65="","",IF(AND(BC65="",BD65=""),"",IF(OR(BC65&lt;0,BD65&lt;0),"Error",IF(ROUND(((BE65/(BC65+BD65))*5/$V65),2)&gt;5,5,IF(ROUND(((BE65/(BC65+BD65))*5/$V65),2)&lt;0,"Error",ROUND(((BE65/(BC65+BD65))*5/$V65),2))))))</f>
      </c>
      <c r="BG65" s="54"/>
      <c r="BH65" s="54"/>
      <c r="BI65" s="48"/>
      <c r="BJ65" s="63">
        <f>IF(BI65="","",IF(AND(BG65="",BH65=""),"",IF(OR(BG65&lt;0,BH65&lt;0),"Error",IF(ROUND(((BI65/(BG65+BH65))*5/$V65),2)&gt;5,5,IF(ROUND(((BI65/(BG65+BH65))*5/$V65),2)&lt;0,"Error",ROUND(((BI65/(BG65+BH65))*5/$V65),2))))))</f>
      </c>
      <c r="BK65" s="97"/>
      <c r="BL65" s="55">
        <f>IF(OR(W66="Error",AA66="Error",AE66="Error",AI66="Error",AM66="Error",AQ66="Error",AU66="Error",AY66="Error",BC66="Error",BG66="Error"),"Error",IF(COUNT(W66,AA66,AE66,AI66,AM66,AQ66,AU66,AY66,BC66,BG66)=0,"",SUM(W66,AA66,AE66,AI66,AM66,AQ66,AU66,AY66,BC66,BG66)))</f>
      </c>
      <c r="BM65" s="56">
        <f>IF(OR(X66="Error",AB66="Error",AF66="Error",AJ66="Error",AN66="Error",AR66="Error",AV66="Error",AZ66="Error",BD66="Error",BH66="Error"),"Error",IF(COUNT(X66,AB66,AF66,AJ66,AN66,AR66,AV66,AZ66,BD66,BH66)=0,"",SUM(X66,AB66,AF66,AJ66,AN66,AR66,AV66,AZ66,BD66,BH66)))</f>
      </c>
      <c r="BN65" s="57">
        <f>IF(COUNT(Z66,AD66,AH66,AL66,AP66,AT66,AX66,BB66,BF66,BJ66)=0,"",ROUND(AVERAGE(Z66,AD66,AH66,AL66,AP66,AT66,AX66,BB66,BF66,BJ66),2))</f>
      </c>
      <c r="BP65" s="65">
        <f>IF(AND(E67="",F67="",G67="",H67=""),"",IF(AND(C67="",J66="",E67&lt;&gt;""),"incorrect",IF(AND(E67="",F67&lt;&gt;""),"space",IF(AND(F67&lt;&gt;"",E67&gt;F67),"ascending",IF(OR(E67="",E67=1,E67=2,E67=3,E67=4,E67=5),"","Error")))))</f>
      </c>
      <c r="BQ65" s="65">
        <f>IF(AND(F67&lt;&gt;"",E67=F67),"ใส่เลขข้อซ้ำ",IF(AND(F67="",G67&lt;&gt;""),"space",IF(AND(G67&lt;&gt;"",F67&gt;G67),"ascending",IF(OR(F67="",F67=2,F67=3,F67=4,F67=5),"","Error"))))</f>
      </c>
      <c r="BR65" s="65">
        <f>IF(AND(G67&lt;&gt;"",OR(E67=G67,F67=G67)),"ใส่เลขข้อซ้ำ",IF(AND(G67="",H67&lt;&gt;""),"space",IF(AND(H67&lt;&gt;"",G67&gt;H67),"ascending",IF(OR(G67="",G67=3,G67=4,G67=5),"","Error"))))</f>
      </c>
      <c r="BS65" s="65">
        <f>IF(AND(H67&lt;&gt;"",OR(E67=H67,F67=H67,G67=H67)),"ใส่เลขข้อซ้ำ",IF(OR(H67="",H67=4,H67=5),"","Error"))</f>
      </c>
    </row>
    <row r="66" spans="1:71" ht="22.5" customHeight="1">
      <c r="A66" s="440" t="s">
        <v>72</v>
      </c>
      <c r="B66" s="326" t="str">
        <f>IF(C67="","",IF(OR(C67=1,C67=2,C67=3,C67=4),"ดำเนินการ",IF(C67=5,"ดำเนินการครบ","Error")))</f>
        <v>ดำเนินการ</v>
      </c>
      <c r="C66" s="327"/>
      <c r="D66" s="328"/>
      <c r="E66" s="329" t="str">
        <f>IF(J66="","",IF(OR(J66=0,J66=1,J66=2,J66=3,J66=4),"มีการดำเนินการ",IF(J66=5,"มีการดำเนินการครบ","Error")))</f>
        <v>มีการดำเนินการครบ</v>
      </c>
      <c r="F66" s="330"/>
      <c r="G66" s="330"/>
      <c r="H66" s="330"/>
      <c r="I66" s="330"/>
      <c r="J66" s="285">
        <v>5</v>
      </c>
      <c r="K66" s="331" t="str">
        <f>IF(J66="","",IF(OR(J66=1,J66=2,J66=3,J66=4),"ข้อ ได้แก่ข้อที่",IF(OR(J66=0,J66=5),"ข้อ","ใส่เลขผิด")))</f>
        <v>ข้อ</v>
      </c>
      <c r="L66" s="331"/>
      <c r="M66" s="332"/>
      <c r="N66" s="358">
        <f>IF(AND(C67="",J66="",E68=""),"",IF(OR(E68&lt;&gt;"",B66="Error"),"Error",IF(AND(OR(C67=1,C67=2,C67=3,C67=4,C67=5),OR(J66=0,J66=1,J66=2,J66=3,J66=4,J66=5)),LOOKUP(J66,{0,1,2,3,4,5},{0,1,2,3,4,5}),"Error")))</f>
        <v>5</v>
      </c>
      <c r="O66" s="424"/>
      <c r="P66" s="400" t="str">
        <f>IF(OR(C67="",B66="Error",E66="Error",E68&lt;&gt;""),"",IF(C67&lt;=J66,"ü","û"))</f>
        <v>ü</v>
      </c>
      <c r="Q66" s="401"/>
      <c r="R66" s="402"/>
      <c r="S66" s="287"/>
      <c r="T66" s="290">
        <f>IF(AND(C67="",J66&lt;&gt;""),"ต้องใส่จำนวนข้อเป้าหมาย",IF(AND(OR(C67="",C67=1,C67=2,C67=3,C67=4,C67=5),OR(J66="",J66=0,J66=1,J66=2,J66=3,J66=4,J66=5)),"",IF(AND(C67="",J66=""),"","ใส่เลขผิด")))</f>
      </c>
      <c r="U66" s="516" t="s">
        <v>51</v>
      </c>
      <c r="V66" s="517"/>
      <c r="W66" s="59">
        <f>IF(AND(W63="",W64="",W65=""),"",IF(OR(W63&lt;0,W64&lt;0,W65&lt;0),"Error",SUM(W63:W65)))</f>
      </c>
      <c r="X66" s="60">
        <f>IF(AND(X63="",X64="",X65=""),"",IF(OR(X63&lt;0,X64&lt;0,X65&lt;0),"Error",SUM(X63:X65)))</f>
      </c>
      <c r="Y66" s="43">
        <f>IF(AND(Y63="",Y64="",Y65=""),"",ROUND(SUM(Y63:Y65),2))</f>
      </c>
      <c r="Z66" s="44">
        <f>IF(COUNT(Z63:Z65)=0,"",ROUND(AVERAGE(Z63:Z65),2))</f>
      </c>
      <c r="AA66" s="59">
        <f>IF(AND(AA63="",AA64="",AA65=""),"",IF(OR(AA63&lt;0,AA64&lt;0,AA65&lt;0),"Error",SUM(AA63:AA65)))</f>
      </c>
      <c r="AB66" s="60">
        <f>IF(AND(AB63="",AB64="",AB65=""),"",IF(OR(AB63&lt;0,AB64&lt;0,AB65&lt;0),"Error",SUM(AB63:AB65)))</f>
      </c>
      <c r="AC66" s="43">
        <f>IF(AND(AC63="",AC64="",AC65=""),"",ROUND(SUM(AC63:AC65),2))</f>
      </c>
      <c r="AD66" s="44">
        <f>IF(COUNT(AD63:AD65)=0,"",ROUND(AVERAGE(AD63:AD65),2))</f>
      </c>
      <c r="AE66" s="59">
        <f>IF(AND(AE63="",AE64="",AE65=""),"",IF(OR(AE63&lt;0,AE64&lt;0,AE65&lt;0),"Error",SUM(AE63:AE65)))</f>
      </c>
      <c r="AF66" s="60">
        <f>IF(AND(AF63="",AF64="",AF65=""),"",IF(OR(AF63&lt;0,AF64&lt;0,AF65&lt;0),"Error",SUM(AF63:AF65)))</f>
      </c>
      <c r="AG66" s="43">
        <f>IF(AND(AG63="",AG64="",AG65=""),"",ROUND(SUM(AG63:AG65),2))</f>
      </c>
      <c r="AH66" s="44">
        <f>IF(COUNT(AH63:AH65)=0,"",ROUND(AVERAGE(AH63:AH65),2))</f>
      </c>
      <c r="AI66" s="59">
        <f>IF(AND(AI63="",AI64="",AI65=""),"",IF(OR(AI63&lt;0,AI64&lt;0,AI65&lt;0),"Error",SUM(AI63:AI65)))</f>
      </c>
      <c r="AJ66" s="60">
        <f>IF(AND(AJ63="",AJ64="",AJ65=""),"",IF(OR(AJ63&lt;0,AJ64&lt;0,AJ65&lt;0),"Error",SUM(AJ63:AJ65)))</f>
      </c>
      <c r="AK66" s="43">
        <f>IF(AND(AK63="",AK64="",AK65=""),"",ROUND(SUM(AK63:AK65),2))</f>
      </c>
      <c r="AL66" s="44">
        <f>IF(COUNT(AL63:AL65)=0,"",ROUND(AVERAGE(AL63:AL65),2))</f>
      </c>
      <c r="AM66" s="59">
        <f>IF(AND(AM63="",AM64="",AM65=""),"",IF(OR(AM63&lt;0,AM64&lt;0,AM65&lt;0),"Error",SUM(AM63:AM65)))</f>
      </c>
      <c r="AN66" s="60">
        <f>IF(AND(AN63="",AN64="",AN65=""),"",IF(OR(AN63&lt;0,AN64&lt;0,AN65&lt;0),"Error",SUM(AN63:AN65)))</f>
      </c>
      <c r="AO66" s="43">
        <f>IF(AND(AO63="",AO64="",AO65=""),"",ROUND(SUM(AO63:AO65),2))</f>
      </c>
      <c r="AP66" s="44">
        <f>IF(COUNT(AP63:AP65)=0,"",ROUND(AVERAGE(AP63:AP65),2))</f>
      </c>
      <c r="AQ66" s="59">
        <f>IF(AND(AQ63="",AQ64="",AQ65=""),"",IF(OR(AQ63&lt;0,AQ64&lt;0,AQ65&lt;0),"Error",SUM(AQ63:AQ65)))</f>
      </c>
      <c r="AR66" s="60">
        <f>IF(AND(AR63="",AR64="",AR65=""),"",IF(OR(AR63&lt;0,AR64&lt;0,AR65&lt;0),"Error",SUM(AR63:AR65)))</f>
      </c>
      <c r="AS66" s="43">
        <f>IF(AND(AS63="",AS64="",AS65=""),"",ROUND(SUM(AS63:AS65),2))</f>
      </c>
      <c r="AT66" s="44">
        <f>IF(COUNT(AT63:AT65)=0,"",ROUND(AVERAGE(AT63:AT65),2))</f>
      </c>
      <c r="AU66" s="59">
        <f>IF(AND(AU63="",AU64="",AU65=""),"",IF(OR(AU63&lt;0,AU64&lt;0,AU65&lt;0),"Error",SUM(AU63:AU65)))</f>
      </c>
      <c r="AV66" s="60">
        <f>IF(AND(AV63="",AV64="",AV65=""),"",IF(OR(AV63&lt;0,AV64&lt;0,AV65&lt;0),"Error",SUM(AV63:AV65)))</f>
      </c>
      <c r="AW66" s="43">
        <f>IF(AND(AW63="",AW64="",AW65=""),"",ROUND(SUM(AW63:AW65),2))</f>
      </c>
      <c r="AX66" s="44">
        <f>IF(COUNT(AX63:AX65)=0,"",ROUND(AVERAGE(AX63:AX65),2))</f>
      </c>
      <c r="AY66" s="59">
        <f>IF(AND(AY63="",AY64="",AY65=""),"",IF(OR(AY63&lt;0,AY64&lt;0,AY65&lt;0),"Error",SUM(AY63:AY65)))</f>
      </c>
      <c r="AZ66" s="60">
        <f>IF(AND(AZ63="",AZ64="",AZ65=""),"",IF(OR(AZ63&lt;0,AZ64&lt;0,AZ65&lt;0),"Error",SUM(AZ63:AZ65)))</f>
      </c>
      <c r="BA66" s="43">
        <f>IF(AND(BA63="",BA64="",BA65=""),"",ROUND(SUM(BA63:BA65),2))</f>
      </c>
      <c r="BB66" s="44">
        <f>IF(COUNT(BB63:BB65)=0,"",ROUND(AVERAGE(BB63:BB65),2))</f>
      </c>
      <c r="BC66" s="59">
        <f>IF(AND(BC63="",BC64="",BC65=""),"",IF(OR(BC63&lt;0,BC64&lt;0,BC65&lt;0),"Error",SUM(BC63:BC65)))</f>
      </c>
      <c r="BD66" s="60">
        <f>IF(AND(BD63="",BD64="",BD65=""),"",IF(OR(BD63&lt;0,BD64&lt;0,BD65&lt;0),"Error",SUM(BD63:BD65)))</f>
      </c>
      <c r="BE66" s="43">
        <f>IF(AND(BE63="",BE64="",BE65=""),"",ROUND(SUM(BE63:BE65),2))</f>
      </c>
      <c r="BF66" s="44">
        <f>IF(COUNT(BF63:BF65)=0,"",ROUND(AVERAGE(BF63:BF65),2))</f>
      </c>
      <c r="BG66" s="59">
        <f>IF(AND(BG63="",BG64="",BG65=""),"",IF(OR(BG63&lt;0,BG64&lt;0,BG65&lt;0),"Error",SUM(BG63:BG65)))</f>
      </c>
      <c r="BH66" s="60">
        <f>IF(AND(BH63="",BH64="",BH65=""),"",IF(OR(BH63&lt;0,BH64&lt;0,BH65&lt;0),"Error",SUM(BH63:BH65)))</f>
      </c>
      <c r="BI66" s="43">
        <f>IF(AND(BI63="",BI64="",BI65=""),"",ROUND(SUM(BI63:BI65),2))</f>
      </c>
      <c r="BJ66" s="44">
        <f>IF(COUNT(BJ63:BJ65)=0,"",ROUND(AVERAGE(BJ63:BJ65),2))</f>
      </c>
      <c r="BK66" s="98"/>
      <c r="BL66" s="510">
        <f>IF(COUNT(Y66,AC66,AG66,AK66,AO66,AS66,AW66,BA66,BE66,BI66)=0,"",IF(OR(Y66&lt;1,AC66&lt;1,AG66&lt;1,AK66&lt;1,AO66&lt;1,AS66&lt;1,AW66&lt;1,BA66&lt;1,BE66&lt;1,BI66&lt;1),"Error",SUM(Y66,AC66,AG66,AK66,AO66,AS66,AW66,BA66,BE66,BI66)))</f>
      </c>
      <c r="BM66" s="510"/>
      <c r="BN66" s="510"/>
      <c r="BP66" s="85">
        <f>IF(COUNTIF(BP65:BS65,"Error")&gt;0,"Error","")</f>
      </c>
      <c r="BQ66" s="67">
        <f>COUNT(E67:H67)</f>
        <v>0</v>
      </c>
      <c r="BR66" s="446">
        <f>IF(COUNTIF(BP65,"incorrect")&gt;0,"ให้ใส่เป้าหมายและผลที่ดำเนินการได้ก่อน",IF(COUNTIF(BP65:BS65,"space")&gt;0,"ให้ใส่เลขข้อโดยไม่ข้ามช่องว่าง",IF(COUNTIF(BP65:BS65,"ascending")&gt;0,"ให้เรียงเลขข้อจากน้อยไปมาก",IF(COUNTIF(BQ65:BS65,"ใส่เลขข้อซ้ำ")&gt;0,"ใส่เลขข้อซ้ำ",""))))</f>
      </c>
      <c r="BS66" s="446"/>
    </row>
    <row r="67" spans="1:20" ht="22.5" customHeight="1">
      <c r="A67" s="455"/>
      <c r="B67" s="81"/>
      <c r="C67" s="146">
        <v>3</v>
      </c>
      <c r="D67" s="74" t="str">
        <f>IF(C67="","",IF(OR(C67=1,C67=2,C67=3,C67=4,C67=5),"ข้อ",""))</f>
        <v>ข้อ</v>
      </c>
      <c r="E67" s="114"/>
      <c r="F67" s="115"/>
      <c r="G67" s="115"/>
      <c r="H67" s="115"/>
      <c r="I67" s="363"/>
      <c r="J67" s="363"/>
      <c r="K67" s="363"/>
      <c r="L67" s="363"/>
      <c r="M67" s="364"/>
      <c r="N67" s="359"/>
      <c r="O67" s="425"/>
      <c r="P67" s="403"/>
      <c r="Q67" s="404"/>
      <c r="R67" s="405"/>
      <c r="S67" s="345"/>
      <c r="T67" s="291"/>
    </row>
    <row r="68" spans="1:63" ht="45" customHeight="1">
      <c r="A68" s="456"/>
      <c r="B68" s="365"/>
      <c r="C68" s="366"/>
      <c r="D68" s="367"/>
      <c r="E68" s="341">
        <f>IF(OR(B66="Error",E66="Error"),"",IF(AND(C67&lt;&gt;"",J66=""),"ให้ใส่จำนวนข้อที่ดำเนินการได้ทั้งหมด",IF(AND(J66=5,E67="",F67="",G67="",H67=""),"",IF(AND(OR(J66=0,J66=5),OR(E67&lt;&gt;"",F67&lt;&gt;"",G67&lt;&gt;"",H67&lt;&gt;"")),"ไม่ต้องใส่เลขข้อที่ได้ดำเนินการ",IF(AND(J66&lt;5,J66&gt;0,C67&lt;&gt;"",E67="",F67="",G67="",H67=""),"ใส่เลขข้อที่ได้ดำเนินการ",IF(BR66&lt;&gt;"",BR66,IF(BP66="Error","ใส่เลขผิด",IF(J66&lt;&gt;BQ66,"จำนวนข้อที่ดำเนินการไม่เท่ากับข้อที่ระบุ",""))))))))</f>
      </c>
      <c r="F68" s="466"/>
      <c r="G68" s="466"/>
      <c r="H68" s="466"/>
      <c r="I68" s="466"/>
      <c r="J68" s="466"/>
      <c r="K68" s="466"/>
      <c r="L68" s="466"/>
      <c r="M68" s="467"/>
      <c r="N68" s="360"/>
      <c r="O68" s="426"/>
      <c r="P68" s="406"/>
      <c r="Q68" s="407"/>
      <c r="R68" s="408"/>
      <c r="S68" s="288"/>
      <c r="T68" s="292"/>
      <c r="U68" s="68" t="s">
        <v>54</v>
      </c>
      <c r="V68" s="69"/>
      <c r="W68" s="480">
        <v>21</v>
      </c>
      <c r="X68" s="481"/>
      <c r="Y68" s="481"/>
      <c r="Z68" s="482"/>
      <c r="AA68" s="480">
        <v>22</v>
      </c>
      <c r="AB68" s="481"/>
      <c r="AC68" s="481"/>
      <c r="AD68" s="482"/>
      <c r="AE68" s="480">
        <v>23</v>
      </c>
      <c r="AF68" s="481"/>
      <c r="AG68" s="481"/>
      <c r="AH68" s="482"/>
      <c r="AI68" s="480">
        <v>24</v>
      </c>
      <c r="AJ68" s="481"/>
      <c r="AK68" s="481"/>
      <c r="AL68" s="482"/>
      <c r="AM68" s="480">
        <v>25</v>
      </c>
      <c r="AN68" s="481"/>
      <c r="AO68" s="481"/>
      <c r="AP68" s="482"/>
      <c r="AQ68" s="480">
        <v>26</v>
      </c>
      <c r="AR68" s="481"/>
      <c r="AS68" s="481"/>
      <c r="AT68" s="482"/>
      <c r="AU68" s="480">
        <v>27</v>
      </c>
      <c r="AV68" s="481"/>
      <c r="AW68" s="481"/>
      <c r="AX68" s="482"/>
      <c r="AY68" s="480">
        <v>28</v>
      </c>
      <c r="AZ68" s="481"/>
      <c r="BA68" s="481"/>
      <c r="BB68" s="482"/>
      <c r="BC68" s="480">
        <v>29</v>
      </c>
      <c r="BD68" s="481"/>
      <c r="BE68" s="481"/>
      <c r="BF68" s="482"/>
      <c r="BG68" s="480">
        <v>30</v>
      </c>
      <c r="BH68" s="481"/>
      <c r="BI68" s="481"/>
      <c r="BJ68" s="482"/>
      <c r="BK68" s="104"/>
    </row>
    <row r="69" spans="1:63" ht="22.5" customHeight="1">
      <c r="A69" s="131" t="s">
        <v>143</v>
      </c>
      <c r="B69" s="518">
        <v>30</v>
      </c>
      <c r="C69" s="519"/>
      <c r="D69" s="520"/>
      <c r="E69" s="521"/>
      <c r="F69" s="522"/>
      <c r="G69" s="522"/>
      <c r="H69" s="522"/>
      <c r="I69" s="522"/>
      <c r="J69" s="522"/>
      <c r="K69" s="522"/>
      <c r="L69" s="522"/>
      <c r="M69" s="523"/>
      <c r="N69" s="188"/>
      <c r="O69" s="163"/>
      <c r="P69" s="513"/>
      <c r="Q69" s="514"/>
      <c r="R69" s="515"/>
      <c r="S69" s="150"/>
      <c r="T69" s="108"/>
      <c r="U69" s="110"/>
      <c r="V69" s="49"/>
      <c r="W69" s="85" t="s">
        <v>46</v>
      </c>
      <c r="X69" s="50" t="s">
        <v>47</v>
      </c>
      <c r="Y69" s="474" t="s">
        <v>58</v>
      </c>
      <c r="Z69" s="475"/>
      <c r="AA69" s="85" t="s">
        <v>46</v>
      </c>
      <c r="AB69" s="50" t="s">
        <v>47</v>
      </c>
      <c r="AC69" s="474" t="s">
        <v>58</v>
      </c>
      <c r="AD69" s="475"/>
      <c r="AE69" s="85" t="s">
        <v>46</v>
      </c>
      <c r="AF69" s="50" t="s">
        <v>47</v>
      </c>
      <c r="AG69" s="474" t="s">
        <v>58</v>
      </c>
      <c r="AH69" s="475"/>
      <c r="AI69" s="85" t="s">
        <v>46</v>
      </c>
      <c r="AJ69" s="50" t="s">
        <v>47</v>
      </c>
      <c r="AK69" s="474" t="s">
        <v>58</v>
      </c>
      <c r="AL69" s="475"/>
      <c r="AM69" s="85" t="s">
        <v>46</v>
      </c>
      <c r="AN69" s="50" t="s">
        <v>47</v>
      </c>
      <c r="AO69" s="474" t="s">
        <v>58</v>
      </c>
      <c r="AP69" s="475"/>
      <c r="AQ69" s="85" t="s">
        <v>46</v>
      </c>
      <c r="AR69" s="50" t="s">
        <v>47</v>
      </c>
      <c r="AS69" s="474" t="s">
        <v>58</v>
      </c>
      <c r="AT69" s="475"/>
      <c r="AU69" s="85" t="s">
        <v>46</v>
      </c>
      <c r="AV69" s="50" t="s">
        <v>47</v>
      </c>
      <c r="AW69" s="474" t="s">
        <v>58</v>
      </c>
      <c r="AX69" s="475"/>
      <c r="AY69" s="85" t="s">
        <v>46</v>
      </c>
      <c r="AZ69" s="50" t="s">
        <v>47</v>
      </c>
      <c r="BA69" s="474" t="s">
        <v>58</v>
      </c>
      <c r="BB69" s="475"/>
      <c r="BC69" s="85" t="s">
        <v>46</v>
      </c>
      <c r="BD69" s="50" t="s">
        <v>47</v>
      </c>
      <c r="BE69" s="474" t="s">
        <v>58</v>
      </c>
      <c r="BF69" s="475"/>
      <c r="BG69" s="85" t="s">
        <v>46</v>
      </c>
      <c r="BH69" s="50" t="s">
        <v>47</v>
      </c>
      <c r="BI69" s="474" t="s">
        <v>58</v>
      </c>
      <c r="BJ69" s="475"/>
      <c r="BK69" s="96"/>
    </row>
    <row r="70" spans="1:63" ht="22.5" customHeight="1">
      <c r="A70" s="131" t="s">
        <v>144</v>
      </c>
      <c r="B70" s="518">
        <v>4</v>
      </c>
      <c r="C70" s="519"/>
      <c r="D70" s="520"/>
      <c r="E70" s="521"/>
      <c r="F70" s="522"/>
      <c r="G70" s="522"/>
      <c r="H70" s="522"/>
      <c r="I70" s="522"/>
      <c r="J70" s="522"/>
      <c r="K70" s="522"/>
      <c r="L70" s="522"/>
      <c r="M70" s="523"/>
      <c r="N70" s="282"/>
      <c r="O70" s="163"/>
      <c r="P70" s="513"/>
      <c r="Q70" s="514"/>
      <c r="R70" s="515"/>
      <c r="S70" s="150"/>
      <c r="T70" s="108"/>
      <c r="U70" s="40" t="s">
        <v>48</v>
      </c>
      <c r="V70" s="39">
        <v>60000</v>
      </c>
      <c r="W70" s="52"/>
      <c r="X70" s="52"/>
      <c r="Y70" s="46"/>
      <c r="Z70" s="61">
        <f>IF(Y70="","",IF(AND(W70="",X70=""),"",IF(OR(W70&lt;0,X70&lt;0),"Error",IF(ROUND(((Y70/(W70+X70))*5/$V70),2)&gt;5,5,IF(ROUND(((Y70/(W70+X70))*5/$V70),2)&lt;0,"Error",ROUND(((Y70/(W70+X70))*5/$V70),2))))))</f>
      </c>
      <c r="AA70" s="52"/>
      <c r="AB70" s="52"/>
      <c r="AC70" s="46"/>
      <c r="AD70" s="61">
        <f>IF(AC70="","",IF(AND(AA70="",AB70=""),"",IF(OR(AA70&lt;0,AB70&lt;0),"Error",IF(ROUND(((AC70/(AA70+AB70))*5/$V70),2)&gt;5,5,IF(ROUND(((AC70/(AA70+AB70))*5/$V70),2)&lt;0,"Error",ROUND(((AC70/(AA70+AB70))*5/$V70),2))))))</f>
      </c>
      <c r="AE70" s="52"/>
      <c r="AF70" s="52"/>
      <c r="AG70" s="46"/>
      <c r="AH70" s="61">
        <f>IF(AG70="","",IF(AND(AE70="",AF70=""),"",IF(OR(AE70&lt;0,AF70&lt;0),"Error",IF(ROUND(((AG70/(AE70+AF70))*5/$V70),2)&gt;5,5,IF(ROUND(((AG70/(AE70+AF70))*5/$V70),2)&lt;0,"Error",ROUND(((AG70/(AE70+AF70))*5/$V70),2))))))</f>
      </c>
      <c r="AI70" s="52"/>
      <c r="AJ70" s="52"/>
      <c r="AK70" s="46"/>
      <c r="AL70" s="61">
        <f>IF(AK70="","",IF(AND(AI70="",AJ70=""),"",IF(OR(AI70&lt;0,AJ70&lt;0),"Error",IF(ROUND(((AK70/(AI70+AJ70))*5/$V70),2)&gt;5,5,IF(ROUND(((AK70/(AI70+AJ70))*5/$V70),2)&lt;0,"Error",ROUND(((AK70/(AI70+AJ70))*5/$V70),2))))))</f>
      </c>
      <c r="AM70" s="52"/>
      <c r="AN70" s="52"/>
      <c r="AO70" s="46"/>
      <c r="AP70" s="61">
        <f>IF(AO70="","",IF(AND(AM70="",AN70=""),"",IF(OR(AM70&lt;0,AN70&lt;0),"Error",IF(ROUND(((AO70/(AM70+AN70))*5/$V70),2)&gt;5,5,IF(ROUND(((AO70/(AM70+AN70))*5/$V70),2)&lt;0,"Error",ROUND(((AO70/(AM70+AN70))*5/$V70),2))))))</f>
      </c>
      <c r="AQ70" s="52"/>
      <c r="AR70" s="52"/>
      <c r="AS70" s="46"/>
      <c r="AT70" s="61">
        <f>IF(AS70="","",IF(AND(AQ70="",AR70=""),"",IF(OR(AQ70&lt;0,AR70&lt;0),"Error",IF(ROUND(((AS70/(AQ70+AR70))*5/$V70),2)&gt;5,5,IF(ROUND(((AS70/(AQ70+AR70))*5/$V70),2)&lt;0,"Error",ROUND(((AS70/(AQ70+AR70))*5/$V70),2))))))</f>
      </c>
      <c r="AU70" s="52"/>
      <c r="AV70" s="52"/>
      <c r="AW70" s="46"/>
      <c r="AX70" s="61">
        <f>IF(AW70="","",IF(AND(AU70="",AV70=""),"",IF(OR(AU70&lt;0,AV70&lt;0),"Error",IF(ROUND(((AW70/(AU70+AV70))*5/$V70),2)&gt;5,5,IF(ROUND(((AW70/(AU70+AV70))*5/$V70),2)&lt;0,"Error",ROUND(((AW70/(AU70+AV70))*5/$V70),2))))))</f>
      </c>
      <c r="AY70" s="52"/>
      <c r="AZ70" s="52"/>
      <c r="BA70" s="46"/>
      <c r="BB70" s="61">
        <f>IF(BA70="","",IF(AND(AY70="",AZ70=""),"",IF(OR(AY70&lt;0,AZ70&lt;0),"Error",IF(ROUND(((BA70/(AY70+AZ70))*5/$V70),2)&gt;5,5,IF(ROUND(((BA70/(AY70+AZ70))*5/$V70),2)&lt;0,"Error",ROUND(((BA70/(AY70+AZ70))*5/$V70),2))))))</f>
      </c>
      <c r="BC70" s="52"/>
      <c r="BD70" s="52"/>
      <c r="BE70" s="46"/>
      <c r="BF70" s="61">
        <f>IF(BE70="","",IF(AND(BC70="",BD70=""),"",IF(OR(BC70&lt;0,BD70&lt;0),"Error",IF(ROUND(((BE70/(BC70+BD70))*5/$V70),2)&gt;5,5,IF(ROUND(((BE70/(BC70+BD70))*5/$V70),2)&lt;0,"Error",ROUND(((BE70/(BC70+BD70))*5/$V70),2))))))</f>
      </c>
      <c r="BG70" s="52"/>
      <c r="BH70" s="52"/>
      <c r="BI70" s="46"/>
      <c r="BJ70" s="61">
        <f>IF(BI70="","",IF(AND(BG70="",BH70=""),"",IF(OR(BG70&lt;0,BH70&lt;0),"Error",IF(ROUND(((BI70/(BG70+BH70))*5/$V70),2)&gt;5,5,IF(ROUND(((BI70/(BG70+BH70))*5/$V70),2)&lt;0,"Error",ROUND(((BI70/(BG70+BH70))*5/$V70),2))))))</f>
      </c>
      <c r="BK70" s="97"/>
    </row>
    <row r="71" spans="1:71" ht="22.5" customHeight="1">
      <c r="A71" s="131" t="s">
        <v>161</v>
      </c>
      <c r="B71" s="518">
        <v>5</v>
      </c>
      <c r="C71" s="519"/>
      <c r="D71" s="520"/>
      <c r="E71" s="580"/>
      <c r="F71" s="581"/>
      <c r="G71" s="581"/>
      <c r="H71" s="581"/>
      <c r="I71" s="581"/>
      <c r="J71" s="581"/>
      <c r="K71" s="581"/>
      <c r="L71" s="581"/>
      <c r="M71" s="582"/>
      <c r="N71" s="283"/>
      <c r="O71" s="163"/>
      <c r="P71" s="164"/>
      <c r="Q71" s="165"/>
      <c r="R71" s="166"/>
      <c r="S71" s="150"/>
      <c r="T71" s="108"/>
      <c r="U71" s="41" t="s">
        <v>49</v>
      </c>
      <c r="V71" s="38">
        <v>50000</v>
      </c>
      <c r="W71" s="53"/>
      <c r="X71" s="53"/>
      <c r="Y71" s="47"/>
      <c r="Z71" s="62">
        <f>IF(Y71="","",IF(AND(W71="",X71=""),"",IF(OR(W71&lt;0,X71&lt;0),"Error",IF(ROUND(((Y71/(W71+X71))*5/$V71),2)&gt;5,5,IF(ROUND(((Y71/(W71+X71))*5/$V71),2)&lt;0,"Error",ROUND(((Y71/(W71+X71))*5/$V71),2))))))</f>
      </c>
      <c r="AA71" s="53"/>
      <c r="AB71" s="53"/>
      <c r="AC71" s="47"/>
      <c r="AD71" s="62">
        <f>IF(AC71="","",IF(AND(AA71="",AB71=""),"",IF(OR(AA71&lt;0,AB71&lt;0),"Error",IF(ROUND(((AC71/(AA71+AB71))*5/$V71),2)&gt;5,5,IF(ROUND(((AC71/(AA71+AB71))*5/$V71),2)&lt;0,"Error",ROUND(((AC71/(AA71+AB71))*5/$V71),2))))))</f>
      </c>
      <c r="AE71" s="53"/>
      <c r="AF71" s="53"/>
      <c r="AG71" s="47"/>
      <c r="AH71" s="62">
        <f>IF(AG71="","",IF(AND(AE71="",AF71=""),"",IF(OR(AE71&lt;0,AF71&lt;0),"Error",IF(ROUND(((AG71/(AE71+AF71))*5/$V71),2)&gt;5,5,IF(ROUND(((AG71/(AE71+AF71))*5/$V71),2)&lt;0,"Error",ROUND(((AG71/(AE71+AF71))*5/$V71),2))))))</f>
      </c>
      <c r="AI71" s="53"/>
      <c r="AJ71" s="53"/>
      <c r="AK71" s="47"/>
      <c r="AL71" s="62">
        <f>IF(AK71="","",IF(AND(AI71="",AJ71=""),"",IF(OR(AI71&lt;0,AJ71&lt;0),"Error",IF(ROUND(((AK71/(AI71+AJ71))*5/$V71),2)&gt;5,5,IF(ROUND(((AK71/(AI71+AJ71))*5/$V71),2)&lt;0,"Error",ROUND(((AK71/(AI71+AJ71))*5/$V71),2))))))</f>
      </c>
      <c r="AM71" s="53"/>
      <c r="AN71" s="53"/>
      <c r="AO71" s="47"/>
      <c r="AP71" s="62">
        <f>IF(AO71="","",IF(AND(AM71="",AN71=""),"",IF(OR(AM71&lt;0,AN71&lt;0),"Error",IF(ROUND(((AO71/(AM71+AN71))*5/$V71),2)&gt;5,5,IF(ROUND(((AO71/(AM71+AN71))*5/$V71),2)&lt;0,"Error",ROUND(((AO71/(AM71+AN71))*5/$V71),2))))))</f>
      </c>
      <c r="AQ71" s="53"/>
      <c r="AR71" s="53"/>
      <c r="AS71" s="47"/>
      <c r="AT71" s="62">
        <f>IF(AS71="","",IF(AND(AQ71="",AR71=""),"",IF(OR(AQ71&lt;0,AR71&lt;0),"Error",IF(ROUND(((AS71/(AQ71+AR71))*5/$V71),2)&gt;5,5,IF(ROUND(((AS71/(AQ71+AR71))*5/$V71),2)&lt;0,"Error",ROUND(((AS71/(AQ71+AR71))*5/$V71),2))))))</f>
      </c>
      <c r="AU71" s="53"/>
      <c r="AV71" s="53"/>
      <c r="AW71" s="47"/>
      <c r="AX71" s="62">
        <f>IF(AW71="","",IF(AND(AU71="",AV71=""),"",IF(OR(AU71&lt;0,AV71&lt;0),"Error",IF(ROUND(((AW71/(AU71+AV71))*5/$V71),2)&gt;5,5,IF(ROUND(((AW71/(AU71+AV71))*5/$V71),2)&lt;0,"Error",ROUND(((AW71/(AU71+AV71))*5/$V71),2))))))</f>
      </c>
      <c r="AY71" s="53"/>
      <c r="AZ71" s="53"/>
      <c r="BA71" s="47"/>
      <c r="BB71" s="62">
        <f>IF(BA71="","",IF(AND(AY71="",AZ71=""),"",IF(OR(AY71&lt;0,AZ71&lt;0),"Error",IF(ROUND(((BA71/(AY71+AZ71))*5/$V71),2)&gt;5,5,IF(ROUND(((BA71/(AY71+AZ71))*5/$V71),2)&lt;0,"Error",ROUND(((BA71/(AY71+AZ71))*5/$V71),2))))))</f>
      </c>
      <c r="BC71" s="53"/>
      <c r="BD71" s="53"/>
      <c r="BE71" s="47"/>
      <c r="BF71" s="62">
        <f>IF(BE71="","",IF(AND(BC71="",BD71=""),"",IF(OR(BC71&lt;0,BD71&lt;0),"Error",IF(ROUND(((BE71/(BC71+BD71))*5/$V71),2)&gt;5,5,IF(ROUND(((BE71/(BC71+BD71))*5/$V71),2)&lt;0,"Error",ROUND(((BE71/(BC71+BD71))*5/$V71),2))))))</f>
      </c>
      <c r="BG71" s="53"/>
      <c r="BH71" s="53"/>
      <c r="BI71" s="47"/>
      <c r="BJ71" s="62">
        <f>IF(BI71="","",IF(AND(BG71="",BH71=""),"",IF(OR(BG71&lt;0,BH71&lt;0),"Error",IF(ROUND(((BI71/(BG71+BH71))*5/$V71),2)&gt;5,5,IF(ROUND(((BI71/(BG71+BH71))*5/$V71),2)&lt;0,"Error",ROUND(((BI71/(BG71+BH71))*5/$V71),2))))))</f>
      </c>
      <c r="BK71" s="97"/>
      <c r="BP71" s="65">
        <f>IF(AND(E74="",F74="",G74="",H74="",I74=""),"",IF(AND(C74="",J73="",E74&lt;&gt;""),"incorrect",IF(AND(E74="",F74&lt;&gt;""),"space",IF(AND(F74&lt;&gt;"",E74&gt;F74),"ascending",IF(OR(E74="",E74=1,E74=2,E74=3,E74=4,E74=5,E74=6),"","Error")))))</f>
      </c>
      <c r="BQ71" s="65">
        <f>IF(AND(F74&lt;&gt;"",E74=F74),"ใส่เลขข้อซ้ำ",IF(AND(F74="",G74&lt;&gt;""),"space",IF(AND(G74&lt;&gt;"",F74&gt;G74),"ascending",IF(OR(F74="",F74=2,F74=3,F74=4,F74=5,F74=6),"","Error"))))</f>
      </c>
      <c r="BR71" s="65">
        <f>IF(AND(G74&lt;&gt;"",OR(E74=G74,F74=G74)),"ใส่เลขข้อซ้ำ",IF(AND(G74="",H74&lt;&gt;""),"space",IF(AND(H74&lt;&gt;"",G74&gt;H74),"ascending",IF(OR(G74="",G74=3,G74=4,G74=5,G74=6),"","Error"))))</f>
      </c>
      <c r="BS71" s="65">
        <f>IF(AND(H74&lt;&gt;"",OR(E74=H74,F74=H74,G74=H74)),"ใส่เลขข้อซ้ำ",IF(AND(H74="",I74&lt;&gt;""),"space",IF(AND(I74&lt;&gt;"",H74&gt;I74),"ascending",IF(OR(H74="",H74=4,H74=5,H74=6),"","Error"))))</f>
      </c>
    </row>
    <row r="72" spans="1:68" ht="22.5" customHeight="1">
      <c r="A72" s="131" t="s">
        <v>160</v>
      </c>
      <c r="B72" s="518">
        <v>5</v>
      </c>
      <c r="C72" s="519"/>
      <c r="D72" s="520"/>
      <c r="E72" s="580"/>
      <c r="F72" s="581"/>
      <c r="G72" s="581"/>
      <c r="H72" s="581"/>
      <c r="I72" s="581"/>
      <c r="J72" s="581"/>
      <c r="K72" s="581"/>
      <c r="L72" s="581"/>
      <c r="M72" s="582"/>
      <c r="N72" s="283"/>
      <c r="O72" s="163"/>
      <c r="P72" s="513"/>
      <c r="Q72" s="514"/>
      <c r="R72" s="515"/>
      <c r="S72" s="150"/>
      <c r="T72" s="108"/>
      <c r="U72" s="42" t="s">
        <v>50</v>
      </c>
      <c r="V72" s="37">
        <v>25000</v>
      </c>
      <c r="W72" s="54"/>
      <c r="X72" s="54"/>
      <c r="Y72" s="48"/>
      <c r="Z72" s="63">
        <f>IF(Y72="","",IF(AND(W72="",X72=""),"",IF(OR(W72&lt;0,X72&lt;0),"Error",IF(ROUND(((Y72/(W72+X72))*5/$V72),2)&gt;5,5,IF(ROUND(((Y72/(W72+X72))*5/$V72),2)&lt;0,"Error",ROUND(((Y72/(W72+X72))*5/$V72),2))))))</f>
      </c>
      <c r="AA72" s="54"/>
      <c r="AB72" s="54"/>
      <c r="AC72" s="48"/>
      <c r="AD72" s="63">
        <f>IF(AC72="","",IF(AND(AA72="",AB72=""),"",IF(OR(AA72&lt;0,AB72&lt;0),"Error",IF(ROUND(((AC72/(AA72+AB72))*5/$V72),2)&gt;5,5,IF(ROUND(((AC72/(AA72+AB72))*5/$V72),2)&lt;0,"Error",ROUND(((AC72/(AA72+AB72))*5/$V72),2))))))</f>
      </c>
      <c r="AE72" s="54"/>
      <c r="AF72" s="54"/>
      <c r="AG72" s="48"/>
      <c r="AH72" s="63">
        <f>IF(AG72="","",IF(AND(AE72="",AF72=""),"",IF(OR(AE72&lt;0,AF72&lt;0),"Error",IF(ROUND(((AG72/(AE72+AF72))*5/$V72),2)&gt;5,5,IF(ROUND(((AG72/(AE72+AF72))*5/$V72),2)&lt;0,"Error",ROUND(((AG72/(AE72+AF72))*5/$V72),2))))))</f>
      </c>
      <c r="AI72" s="54"/>
      <c r="AJ72" s="54"/>
      <c r="AK72" s="48"/>
      <c r="AL72" s="63">
        <f>IF(AK72="","",IF(AND(AI72="",AJ72=""),"",IF(OR(AI72&lt;0,AJ72&lt;0),"Error",IF(ROUND(((AK72/(AI72+AJ72))*5/$V72),2)&gt;5,5,IF(ROUND(((AK72/(AI72+AJ72))*5/$V72),2)&lt;0,"Error",ROUND(((AK72/(AI72+AJ72))*5/$V72),2))))))</f>
      </c>
      <c r="AM72" s="54"/>
      <c r="AN72" s="54"/>
      <c r="AO72" s="48"/>
      <c r="AP72" s="63">
        <f>IF(AO72="","",IF(AND(AM72="",AN72=""),"",IF(OR(AM72&lt;0,AN72&lt;0),"Error",IF(ROUND(((AO72/(AM72+AN72))*5/$V72),2)&gt;5,5,IF(ROUND(((AO72/(AM72+AN72))*5/$V72),2)&lt;0,"Error",ROUND(((AO72/(AM72+AN72))*5/$V72),2))))))</f>
      </c>
      <c r="AQ72" s="54"/>
      <c r="AR72" s="54"/>
      <c r="AS72" s="48"/>
      <c r="AT72" s="63">
        <f>IF(AS72="","",IF(AND(AQ72="",AR72=""),"",IF(OR(AQ72&lt;0,AR72&lt;0),"Error",IF(ROUND(((AS72/(AQ72+AR72))*5/$V72),2)&gt;5,5,IF(ROUND(((AS72/(AQ72+AR72))*5/$V72),2)&lt;0,"Error",ROUND(((AS72/(AQ72+AR72))*5/$V72),2))))))</f>
      </c>
      <c r="AU72" s="54"/>
      <c r="AV72" s="54"/>
      <c r="AW72" s="48"/>
      <c r="AX72" s="63">
        <f>IF(AW72="","",IF(AND(AU72="",AV72=""),"",IF(OR(AU72&lt;0,AV72&lt;0),"Error",IF(ROUND(((AW72/(AU72+AV72))*5/$V72),2)&gt;5,5,IF(ROUND(((AW72/(AU72+AV72))*5/$V72),2)&lt;0,"Error",ROUND(((AW72/(AU72+AV72))*5/$V72),2))))))</f>
      </c>
      <c r="AY72" s="54"/>
      <c r="AZ72" s="54"/>
      <c r="BA72" s="48"/>
      <c r="BB72" s="63">
        <f>IF(BA72="","",IF(AND(AY72="",AZ72=""),"",IF(OR(AY72&lt;0,AZ72&lt;0),"Error",IF(ROUND(((BA72/(AY72+AZ72))*5/$V72),2)&gt;5,5,IF(ROUND(((BA72/(AY72+AZ72))*5/$V72),2)&lt;0,"Error",ROUND(((BA72/(AY72+AZ72))*5/$V72),2))))))</f>
      </c>
      <c r="BC72" s="54"/>
      <c r="BD72" s="54"/>
      <c r="BE72" s="48"/>
      <c r="BF72" s="63">
        <f>IF(BE72="","",IF(AND(BC72="",BD72=""),"",IF(OR(BC72&lt;0,BD72&lt;0),"Error",IF(ROUND(((BE72/(BC72+BD72))*5/$V72),2)&gt;5,5,IF(ROUND(((BE72/(BC72+BD72))*5/$V72),2)&lt;0,"Error",ROUND(((BE72/(BC72+BD72))*5/$V72),2))))))</f>
      </c>
      <c r="BG72" s="54"/>
      <c r="BH72" s="54"/>
      <c r="BI72" s="48"/>
      <c r="BJ72" s="63">
        <f>IF(BI72="","",IF(AND(BG72="",BH72=""),"",IF(OR(BG72&lt;0,BH72&lt;0),"Error",IF(ROUND(((BI72/(BG72+BH72))*5/$V72),2)&gt;5,5,IF(ROUND(((BI72/(BG72+BH72))*5/$V72),2)&lt;0,"Error",ROUND(((BI72/(BG72+BH72))*5/$V72),2))))))</f>
      </c>
      <c r="BK72" s="97"/>
      <c r="BL72" s="55">
        <f>IF(OR(W73="Error",AA73="Error",AE73="Error",AI73="Error",AM73="Error",AQ73="Error",AU73="Error",AY73="Error",BC73="Error",BG73="Error"),"Error",IF(COUNT(W73,AA73,AE73,AI73,AM73,AQ73,AU73,AY73,BC73,BG73)=0,"",SUM(W73,AA73,AE73,AI73,AM73,AQ73,AU73,AY73,BC73,BG73)))</f>
      </c>
      <c r="BM72" s="56">
        <f>IF(OR(X73="Error",AB73="Error",AF73="Error",AJ73="Error",AN73="Error",AR73="Error",AV73="Error",AZ73="Error",BD73="Error",BH73="Error"),"Error",IF(COUNT(X73,AB73,AF73,AJ73,AN73,AR73,AV73,AZ73,BD73,BH73)=0,"",SUM(X73,AB73,AF73,AJ73,AN73,AR73,AV73,AZ73,BD73,BH73)))</f>
      </c>
      <c r="BN72" s="57">
        <f>IF(COUNT(Z73,AD73,AH73,AL73,AP73,AT73,AX73,BB73,BF73,BJ73)=0,"",ROUND(AVERAGE(Z73,AD73,AH73,AL73,AP73,AT73,AX73,BB73,BF73,BJ73),2))</f>
      </c>
      <c r="BP72" s="65">
        <f>IF(AND(I74&lt;&gt;"",OR(E74=I74,F74=I74,G74=I74,H74=I74)),"ใส่เลขข้อซ้ำ",IF(OR(I74="",I74=5,I74=6),"","Error"))</f>
      </c>
    </row>
    <row r="73" spans="1:71" ht="22.5" customHeight="1">
      <c r="A73" s="440" t="s">
        <v>75</v>
      </c>
      <c r="B73" s="326" t="str">
        <f>IF(C74="","",IF(OR(C74=1,C74=2,C74=3,C74=4,C74=5),"ดำเนินการ",IF(C74=6,"ดำเนินการครบ","Error")))</f>
        <v>ดำเนินการ</v>
      </c>
      <c r="C73" s="327"/>
      <c r="D73" s="328"/>
      <c r="E73" s="329" t="str">
        <f>IF(J73="","",IF(OR(J73=0,J73=1,J73=2,J73=3,J73=4,J73=5),"มีการดำเนินการ",IF(J73=6,"มีการดำเนินการครบ","Error")))</f>
        <v>มีการดำเนินการครบ</v>
      </c>
      <c r="F73" s="330"/>
      <c r="G73" s="330"/>
      <c r="H73" s="330"/>
      <c r="I73" s="330"/>
      <c r="J73" s="116">
        <v>6</v>
      </c>
      <c r="K73" s="331" t="str">
        <f>IF(J73="","",IF(OR(J73=1,J73=2,J73=3,J73=4,J73=5),"ข้อ ได้แก่ข้อที่",IF(OR(J73=0,J73=6),"ข้อ","ใส่เลขผิด")))</f>
        <v>ข้อ</v>
      </c>
      <c r="L73" s="331"/>
      <c r="M73" s="332"/>
      <c r="N73" s="358">
        <f>IF(AND(C74="",J73="",E75=""),"",IF(OR(E75&lt;&gt;"",B73="Error"),"Error",IF(AND(OR(C74=1,C74=2,C74=3,C74=4,C74=5,C74=6),OR(J73=0,J73=1,J73=2,J73=3,J73=4,J73=5,J73=6)),LOOKUP(J73,{0,1,2,3,4,5},{0,1,2,3,4,5}),"Error")))</f>
        <v>5</v>
      </c>
      <c r="O73" s="424" t="s">
        <v>180</v>
      </c>
      <c r="P73" s="400" t="str">
        <f>IF(OR(C74="",B73="Error",E73="Error",E75&lt;&gt;""),"",IF(C74&lt;=J73,"ü","û"))</f>
        <v>ü</v>
      </c>
      <c r="Q73" s="401"/>
      <c r="R73" s="402"/>
      <c r="S73" s="287"/>
      <c r="T73" s="290">
        <f>IF(AND(C74="",J73&lt;&gt;""),"ต้องใส่จำนวนข้อเป้าหมาย",IF(AND(OR(C74="",C74=1,C74=2,C74=3,C74=4,C74=5,C74=6),OR(J73="",J73=0,J73=1,J73=2,J73=3,J73=4,J73=5,J73=6)),"",IF(AND(C74="",J73=""),"","ใส่เลขผิด")))</f>
      </c>
      <c r="U73" s="516" t="s">
        <v>51</v>
      </c>
      <c r="V73" s="517"/>
      <c r="W73" s="59">
        <f>IF(AND(W70="",W71="",W72=""),"",IF(OR(W70&lt;0,W71&lt;0,W72&lt;0),"Error",SUM(W70:W72)))</f>
      </c>
      <c r="X73" s="60">
        <f>IF(AND(X70="",X71="",X72=""),"",IF(OR(X70&lt;0,X71&lt;0,X72&lt;0),"Error",SUM(X70:X72)))</f>
      </c>
      <c r="Y73" s="43">
        <f>IF(AND(Y70="",Y71="",Y72=""),"",ROUND(SUM(Y70:Y72),2))</f>
      </c>
      <c r="Z73" s="44">
        <f>IF(COUNT(Z70:Z72)=0,"",ROUND(AVERAGE(Z70:Z72),2))</f>
      </c>
      <c r="AA73" s="59">
        <f>IF(AND(AA70="",AA71="",AA72=""),"",IF(OR(AA70&lt;0,AA71&lt;0,AA72&lt;0),"Error",SUM(AA70:AA72)))</f>
      </c>
      <c r="AB73" s="60">
        <f>IF(AND(AB70="",AB71="",AB72=""),"",IF(OR(AB70&lt;0,AB71&lt;0,AB72&lt;0),"Error",SUM(AB70:AB72)))</f>
      </c>
      <c r="AC73" s="43">
        <f>IF(AND(AC70="",AC71="",AC72=""),"",ROUND(SUM(AC70:AC72),2))</f>
      </c>
      <c r="AD73" s="44">
        <f>IF(COUNT(AD70:AD72)=0,"",ROUND(AVERAGE(AD70:AD72),2))</f>
      </c>
      <c r="AE73" s="59">
        <f>IF(AND(AE70="",AE71="",AE72=""),"",IF(OR(AE70&lt;0,AE71&lt;0,AE72&lt;0),"Error",SUM(AE70:AE72)))</f>
      </c>
      <c r="AF73" s="60">
        <f>IF(AND(AF70="",AF71="",AF72=""),"",IF(OR(AF70&lt;0,AF71&lt;0,AF72&lt;0),"Error",SUM(AF70:AF72)))</f>
      </c>
      <c r="AG73" s="43">
        <f>IF(AND(AG70="",AG71="",AG72=""),"",ROUND(SUM(AG70:AG72),2))</f>
      </c>
      <c r="AH73" s="44">
        <f>IF(COUNT(AH70:AH72)=0,"",ROUND(AVERAGE(AH70:AH72),2))</f>
      </c>
      <c r="AI73" s="59">
        <f>IF(AND(AI70="",AI71="",AI72=""),"",IF(OR(AI70&lt;0,AI71&lt;0,AI72&lt;0),"Error",SUM(AI70:AI72)))</f>
      </c>
      <c r="AJ73" s="60">
        <f>IF(AND(AJ70="",AJ71="",AJ72=""),"",IF(OR(AJ70&lt;0,AJ71&lt;0,AJ72&lt;0),"Error",SUM(AJ70:AJ72)))</f>
      </c>
      <c r="AK73" s="43">
        <f>IF(AND(AK70="",AK71="",AK72=""),"",ROUND(SUM(AK70:AK72),2))</f>
      </c>
      <c r="AL73" s="44">
        <f>IF(COUNT(AL70:AL72)=0,"",ROUND(AVERAGE(AL70:AL72),2))</f>
      </c>
      <c r="AM73" s="59">
        <f>IF(AND(AM70="",AM71="",AM72=""),"",IF(OR(AM70&lt;0,AM71&lt;0,AM72&lt;0),"Error",SUM(AM70:AM72)))</f>
      </c>
      <c r="AN73" s="60">
        <f>IF(AND(AN70="",AN71="",AN72=""),"",IF(OR(AN70&lt;0,AN71&lt;0,AN72&lt;0),"Error",SUM(AN70:AN72)))</f>
      </c>
      <c r="AO73" s="43">
        <f>IF(AND(AO70="",AO71="",AO72=""),"",ROUND(SUM(AO70:AO72),2))</f>
      </c>
      <c r="AP73" s="44">
        <f>IF(COUNT(AP70:AP72)=0,"",ROUND(AVERAGE(AP70:AP72),2))</f>
      </c>
      <c r="AQ73" s="59">
        <f>IF(AND(AQ70="",AQ71="",AQ72=""),"",IF(OR(AQ70&lt;0,AQ71&lt;0,AQ72&lt;0),"Error",SUM(AQ70:AQ72)))</f>
      </c>
      <c r="AR73" s="60">
        <f>IF(AND(AR70="",AR71="",AR72=""),"",IF(OR(AR70&lt;0,AR71&lt;0,AR72&lt;0),"Error",SUM(AR70:AR72)))</f>
      </c>
      <c r="AS73" s="43">
        <f>IF(AND(AS70="",AS71="",AS72=""),"",ROUND(SUM(AS70:AS72),2))</f>
      </c>
      <c r="AT73" s="44">
        <f>IF(COUNT(AT70:AT72)=0,"",ROUND(AVERAGE(AT70:AT72),2))</f>
      </c>
      <c r="AU73" s="59">
        <f>IF(AND(AU70="",AU71="",AU72=""),"",IF(OR(AU70&lt;0,AU71&lt;0,AU72&lt;0),"Error",SUM(AU70:AU72)))</f>
      </c>
      <c r="AV73" s="60">
        <f>IF(AND(AV70="",AV71="",AV72=""),"",IF(OR(AV70&lt;0,AV71&lt;0,AV72&lt;0),"Error",SUM(AV70:AV72)))</f>
      </c>
      <c r="AW73" s="43">
        <f>IF(AND(AW70="",AW71="",AW72=""),"",ROUND(SUM(AW70:AW72),2))</f>
      </c>
      <c r="AX73" s="44">
        <f>IF(COUNT(AX70:AX72)=0,"",ROUND(AVERAGE(AX70:AX72),2))</f>
      </c>
      <c r="AY73" s="59">
        <f>IF(AND(AY70="",AY71="",AY72=""),"",IF(OR(AY70&lt;0,AY71&lt;0,AY72&lt;0),"Error",SUM(AY70:AY72)))</f>
      </c>
      <c r="AZ73" s="60">
        <f>IF(AND(AZ70="",AZ71="",AZ72=""),"",IF(OR(AZ70&lt;0,AZ71&lt;0,AZ72&lt;0),"Error",SUM(AZ70:AZ72)))</f>
      </c>
      <c r="BA73" s="43">
        <f>IF(AND(BA70="",BA71="",BA72=""),"",ROUND(SUM(BA70:BA72),2))</f>
      </c>
      <c r="BB73" s="44">
        <f>IF(COUNT(BB70:BB72)=0,"",ROUND(AVERAGE(BB70:BB72),2))</f>
      </c>
      <c r="BC73" s="59">
        <f>IF(AND(BC70="",BC71="",BC72=""),"",IF(OR(BC70&lt;0,BC71&lt;0,BC72&lt;0),"Error",SUM(BC70:BC72)))</f>
      </c>
      <c r="BD73" s="60">
        <f>IF(AND(BD70="",BD71="",BD72=""),"",IF(OR(BD70&lt;0,BD71&lt;0,BD72&lt;0),"Error",SUM(BD70:BD72)))</f>
      </c>
      <c r="BE73" s="43">
        <f>IF(AND(BE70="",BE71="",BE72=""),"",ROUND(SUM(BE70:BE72),2))</f>
      </c>
      <c r="BF73" s="44">
        <f>IF(COUNT(BF70:BF72)=0,"",ROUND(AVERAGE(BF70:BF72),2))</f>
      </c>
      <c r="BG73" s="59">
        <f>IF(AND(BG70="",BG71="",BG72=""),"",IF(OR(BG70&lt;0,BG71&lt;0,BG72&lt;0),"Error",SUM(BG70:BG72)))</f>
      </c>
      <c r="BH73" s="60">
        <f>IF(AND(BH70="",BH71="",BH72=""),"",IF(OR(BH70&lt;0,BH71&lt;0,BH72&lt;0),"Error",SUM(BH70:BH72)))</f>
      </c>
      <c r="BI73" s="43">
        <f>IF(AND(BI70="",BI71="",BI72=""),"",ROUND(SUM(BI70:BI72),2))</f>
      </c>
      <c r="BJ73" s="44">
        <f>IF(COUNT(BJ70:BJ72)=0,"",ROUND(AVERAGE(BJ70:BJ72),2))</f>
      </c>
      <c r="BK73" s="98"/>
      <c r="BL73" s="510">
        <f>IF(COUNT(Y73,AC73,AG73,AK73,AO73,AS73,AW73,BA73,BE73,BI73)=0,"",IF(OR(Y73&lt;1,AC73&lt;1,AG73&lt;1,AK73&lt;1,AO73&lt;1,AS73&lt;1,AW73&lt;1,BA73&lt;1,BE73&lt;1,BI73&lt;1),"Error",SUM(Y73,AC73,AG73,AK73,AO73,AS73,AW73,BA73,BE73,BI73)))</f>
      </c>
      <c r="BM73" s="510"/>
      <c r="BN73" s="510"/>
      <c r="BP73" s="85">
        <f>IF(COUNTIF(BP71:BS71:BP72,"Error")&gt;0,"Error","")</f>
      </c>
      <c r="BQ73" s="67">
        <f>COUNT(E74:I74)</f>
        <v>0</v>
      </c>
      <c r="BR73" s="552">
        <f>IF(COUNTIF(BP71,"incorrect")&gt;0,"ให้ใส่เป้าหมายและผลที่ดำเนินการได้ก่อน",IF(COUNTIF(BP71:BS71:BP72,"space")&gt;0,"ให้ใส่เลขข้อโดยไม่ข้ามช่องว่าง",IF(COUNTIF(BP71:BS71:BP72,"ascending")&gt;0,"ให้เรียงเลขข้อจากน้อยไปมาก",IF(COUNTIF(BQ71:BS71:BP72,"ใส่เลขข้อซ้ำ")&gt;0,"ใส่เลขข้อซ้ำ",""))))</f>
      </c>
      <c r="BS73" s="554"/>
    </row>
    <row r="74" spans="1:20" ht="22.5" customHeight="1">
      <c r="A74" s="455"/>
      <c r="B74" s="95"/>
      <c r="C74" s="146">
        <v>3</v>
      </c>
      <c r="D74" s="74" t="str">
        <f>IF(C74="","",IF(OR(C74=1,C74=2,C74=3,C74=4,C74=5,C74=6),"ข้อ",""))</f>
        <v>ข้อ</v>
      </c>
      <c r="E74" s="114"/>
      <c r="F74" s="115"/>
      <c r="G74" s="115"/>
      <c r="H74" s="115"/>
      <c r="I74" s="115"/>
      <c r="J74" s="438"/>
      <c r="K74" s="438"/>
      <c r="L74" s="438"/>
      <c r="M74" s="439"/>
      <c r="N74" s="359"/>
      <c r="O74" s="425"/>
      <c r="P74" s="403"/>
      <c r="Q74" s="404"/>
      <c r="R74" s="405"/>
      <c r="S74" s="345"/>
      <c r="T74" s="291"/>
    </row>
    <row r="75" spans="1:63" ht="45" customHeight="1">
      <c r="A75" s="456"/>
      <c r="B75" s="365"/>
      <c r="C75" s="366"/>
      <c r="D75" s="367"/>
      <c r="E75" s="341">
        <f>IF(OR(B73="Error",E73="Error"),"",IF(AND(C74&lt;&gt;"",J73=""),"ให้ใส่จำนวนข้อที่ดำเนินการได้ทั้งหมด",IF(AND(J73=6,E74="",F74="",G74="",H74="",I74=""),"",IF(AND(OR(J73=0,J73=6),OR(E74&lt;&gt;"",F74&lt;&gt;"",G74&lt;&gt;"",H74&lt;&gt;"",I74&lt;&gt;"")),"ไม่ต้องใส่เลขข้อที่ได้ดำเนินการ",IF(AND(J73&lt;6,J73&gt;0,C74&lt;&gt;"",E74="",F74="",G74="",H74="",I74=""),"ใส่เลขข้อที่ได้ดำเนินการ",IF(BR73&lt;&gt;"",BR73,IF(BP73="Error","ใส่เลขผิด",IF(J73&lt;&gt;BQ73,"จำนวนข้อที่ดำเนินการไม่เท่ากับข้อที่ระบุ",""))))))))</f>
      </c>
      <c r="F75" s="466"/>
      <c r="G75" s="466"/>
      <c r="H75" s="466"/>
      <c r="I75" s="466"/>
      <c r="J75" s="466"/>
      <c r="K75" s="466"/>
      <c r="L75" s="466"/>
      <c r="M75" s="467"/>
      <c r="N75" s="360"/>
      <c r="O75" s="426"/>
      <c r="P75" s="406"/>
      <c r="Q75" s="407"/>
      <c r="R75" s="408"/>
      <c r="S75" s="288"/>
      <c r="T75" s="292"/>
      <c r="U75" s="68" t="s">
        <v>55</v>
      </c>
      <c r="V75" s="69"/>
      <c r="W75" s="480">
        <v>31</v>
      </c>
      <c r="X75" s="481"/>
      <c r="Y75" s="481"/>
      <c r="Z75" s="482"/>
      <c r="AA75" s="480">
        <v>32</v>
      </c>
      <c r="AB75" s="481"/>
      <c r="AC75" s="481"/>
      <c r="AD75" s="482"/>
      <c r="AE75" s="480">
        <v>33</v>
      </c>
      <c r="AF75" s="481"/>
      <c r="AG75" s="481"/>
      <c r="AH75" s="482"/>
      <c r="AI75" s="480">
        <v>34</v>
      </c>
      <c r="AJ75" s="481"/>
      <c r="AK75" s="481"/>
      <c r="AL75" s="482"/>
      <c r="AM75" s="480">
        <v>35</v>
      </c>
      <c r="AN75" s="481"/>
      <c r="AO75" s="481"/>
      <c r="AP75" s="482"/>
      <c r="AQ75" s="480">
        <v>36</v>
      </c>
      <c r="AR75" s="481"/>
      <c r="AS75" s="481"/>
      <c r="AT75" s="482"/>
      <c r="AU75" s="480">
        <v>37</v>
      </c>
      <c r="AV75" s="481"/>
      <c r="AW75" s="481"/>
      <c r="AX75" s="482"/>
      <c r="AY75" s="480">
        <v>38</v>
      </c>
      <c r="AZ75" s="481"/>
      <c r="BA75" s="481"/>
      <c r="BB75" s="482"/>
      <c r="BC75" s="480">
        <v>39</v>
      </c>
      <c r="BD75" s="481"/>
      <c r="BE75" s="481"/>
      <c r="BF75" s="482"/>
      <c r="BG75" s="480">
        <v>40</v>
      </c>
      <c r="BH75" s="481"/>
      <c r="BI75" s="481"/>
      <c r="BJ75" s="482"/>
      <c r="BK75" s="104"/>
    </row>
    <row r="76" spans="1:71" ht="22.5" customHeight="1">
      <c r="A76" s="131" t="s">
        <v>145</v>
      </c>
      <c r="B76" s="518">
        <v>4</v>
      </c>
      <c r="C76" s="519"/>
      <c r="D76" s="520"/>
      <c r="E76" s="521"/>
      <c r="F76" s="522"/>
      <c r="G76" s="522"/>
      <c r="H76" s="522"/>
      <c r="I76" s="522"/>
      <c r="J76" s="522"/>
      <c r="K76" s="522"/>
      <c r="L76" s="522"/>
      <c r="M76" s="523"/>
      <c r="N76" s="169"/>
      <c r="O76" s="163"/>
      <c r="P76" s="513"/>
      <c r="Q76" s="514"/>
      <c r="R76" s="515"/>
      <c r="S76" s="150"/>
      <c r="T76" s="108"/>
      <c r="U76" s="110"/>
      <c r="V76" s="49"/>
      <c r="W76" s="85" t="s">
        <v>46</v>
      </c>
      <c r="X76" s="50" t="s">
        <v>47</v>
      </c>
      <c r="Y76" s="474" t="s">
        <v>58</v>
      </c>
      <c r="Z76" s="475"/>
      <c r="AA76" s="85" t="s">
        <v>46</v>
      </c>
      <c r="AB76" s="50" t="s">
        <v>47</v>
      </c>
      <c r="AC76" s="474" t="s">
        <v>58</v>
      </c>
      <c r="AD76" s="475"/>
      <c r="AE76" s="85" t="s">
        <v>46</v>
      </c>
      <c r="AF76" s="50" t="s">
        <v>47</v>
      </c>
      <c r="AG76" s="474" t="s">
        <v>58</v>
      </c>
      <c r="AH76" s="475"/>
      <c r="AI76" s="85" t="s">
        <v>46</v>
      </c>
      <c r="AJ76" s="50" t="s">
        <v>47</v>
      </c>
      <c r="AK76" s="474" t="s">
        <v>58</v>
      </c>
      <c r="AL76" s="475"/>
      <c r="AM76" s="85" t="s">
        <v>46</v>
      </c>
      <c r="AN76" s="50" t="s">
        <v>47</v>
      </c>
      <c r="AO76" s="474" t="s">
        <v>58</v>
      </c>
      <c r="AP76" s="475"/>
      <c r="AQ76" s="85" t="s">
        <v>46</v>
      </c>
      <c r="AR76" s="50" t="s">
        <v>47</v>
      </c>
      <c r="AS76" s="474" t="s">
        <v>58</v>
      </c>
      <c r="AT76" s="475"/>
      <c r="AU76" s="85" t="s">
        <v>46</v>
      </c>
      <c r="AV76" s="50" t="s">
        <v>47</v>
      </c>
      <c r="AW76" s="474" t="s">
        <v>58</v>
      </c>
      <c r="AX76" s="475"/>
      <c r="AY76" s="85" t="s">
        <v>46</v>
      </c>
      <c r="AZ76" s="50" t="s">
        <v>47</v>
      </c>
      <c r="BA76" s="474" t="s">
        <v>58</v>
      </c>
      <c r="BB76" s="475"/>
      <c r="BC76" s="85" t="s">
        <v>46</v>
      </c>
      <c r="BD76" s="50" t="s">
        <v>47</v>
      </c>
      <c r="BE76" s="474" t="s">
        <v>58</v>
      </c>
      <c r="BF76" s="475"/>
      <c r="BG76" s="85" t="s">
        <v>46</v>
      </c>
      <c r="BH76" s="50" t="s">
        <v>47</v>
      </c>
      <c r="BI76" s="474" t="s">
        <v>58</v>
      </c>
      <c r="BJ76" s="475"/>
      <c r="BK76" s="104"/>
      <c r="BP76" s="65">
        <f>IF(AND(E79="",F79="",G79="",H79="",I79="",J79=""),"",IF(AND(C79="",J78="",E79&lt;&gt;""),"incorrect",IF(AND(E79="",F79&lt;&gt;""),"space",IF(AND(F79&lt;&gt;"",E79&gt;F79),"ascending",IF(OR(E79="",E79=1,E79=2,E79=3,E79=4,E79=5,E79=6,E79=7),"","Error")))))</f>
      </c>
      <c r="BQ76" s="65">
        <f>IF(AND(F79&lt;&gt;"",E79=F79),"ใส่เลขข้อซ้ำ",IF(AND(F79="",G79&lt;&gt;""),"space",IF(AND(G79&lt;&gt;"",F79&gt;G79),"ascending",IF(OR(F79="",F79=2,F79=3,F79=4,F79=5,F79=6,F79=7),"","Error"))))</f>
      </c>
      <c r="BR76" s="65">
        <f>IF(AND(G79&lt;&gt;"",OR(E79=G79,F79=G79)),"ใส่เลขข้อซ้ำ",IF(AND(G79="",H79&lt;&gt;""),"space",IF(AND(H79&lt;&gt;"",G79&gt;H79),"ascending",IF(OR(G79="",G79=3,G79=4,G79=5,G79=6,G79=7),"","Error"))))</f>
      </c>
      <c r="BS76" s="65">
        <f>IF(AND(H79&lt;&gt;"",OR(E79=H79,F79=H79,G79=H79)),"ใส่เลขข้อซ้ำ",IF(AND(H79="",I79&lt;&gt;""),"space",IF(AND(I79&lt;&gt;"",H79&gt;I79),"ascending",IF(OR(H79="",H79=4,H79=5,H79=6,H79=7),"","Error"))))</f>
      </c>
    </row>
    <row r="77" spans="1:69" ht="22.5" customHeight="1">
      <c r="A77" s="131" t="s">
        <v>146</v>
      </c>
      <c r="B77" s="518">
        <v>4</v>
      </c>
      <c r="C77" s="519"/>
      <c r="D77" s="520"/>
      <c r="E77" s="521"/>
      <c r="F77" s="522"/>
      <c r="G77" s="522"/>
      <c r="H77" s="522"/>
      <c r="I77" s="522"/>
      <c r="J77" s="522"/>
      <c r="K77" s="522"/>
      <c r="L77" s="522"/>
      <c r="M77" s="523"/>
      <c r="N77" s="169"/>
      <c r="O77" s="163"/>
      <c r="P77" s="513"/>
      <c r="Q77" s="514"/>
      <c r="R77" s="515"/>
      <c r="S77" s="150"/>
      <c r="T77" s="108"/>
      <c r="U77" s="40" t="s">
        <v>48</v>
      </c>
      <c r="V77" s="39">
        <v>60000</v>
      </c>
      <c r="W77" s="52"/>
      <c r="X77" s="52"/>
      <c r="Y77" s="46"/>
      <c r="Z77" s="61">
        <f>IF(Y77="","",IF(AND(W77="",X77=""),"",IF(OR(W77&lt;0,X77&lt;0),"Error",IF(ROUND(((Y77/(W77+X77))*5/$V77),2)&gt;5,5,IF(ROUND(((Y77/(W77+X77))*5/$V77),2)&lt;0,"Error",ROUND(((Y77/(W77+X77))*5/$V77),2))))))</f>
      </c>
      <c r="AA77" s="52"/>
      <c r="AB77" s="52"/>
      <c r="AC77" s="46"/>
      <c r="AD77" s="61">
        <f>IF(AC77="","",IF(AND(AA77="",AB77=""),"",IF(OR(AA77&lt;0,AB77&lt;0),"Error",IF(ROUND(((AC77/(AA77+AB77))*5/$V77),2)&gt;5,5,IF(ROUND(((AC77/(AA77+AB77))*5/$V77),2)&lt;0,"Error",ROUND(((AC77/(AA77+AB77))*5/$V77),2))))))</f>
      </c>
      <c r="AE77" s="52"/>
      <c r="AF77" s="52"/>
      <c r="AG77" s="46"/>
      <c r="AH77" s="61">
        <f>IF(AG77="","",IF(AND(AE77="",AF77=""),"",IF(OR(AE77&lt;0,AF77&lt;0),"Error",IF(ROUND(((AG77/(AE77+AF77))*5/$V77),2)&gt;5,5,IF(ROUND(((AG77/(AE77+AF77))*5/$V77),2)&lt;0,"Error",ROUND(((AG77/(AE77+AF77))*5/$V77),2))))))</f>
      </c>
      <c r="AI77" s="52"/>
      <c r="AJ77" s="52"/>
      <c r="AK77" s="46"/>
      <c r="AL77" s="61">
        <f>IF(AK77="","",IF(AND(AI77="",AJ77=""),"",IF(OR(AI77&lt;0,AJ77&lt;0),"Error",IF(ROUND(((AK77/(AI77+AJ77))*5/$V77),2)&gt;5,5,IF(ROUND(((AK77/(AI77+AJ77))*5/$V77),2)&lt;0,"Error",ROUND(((AK77/(AI77+AJ77))*5/$V77),2))))))</f>
      </c>
      <c r="AM77" s="52"/>
      <c r="AN77" s="52"/>
      <c r="AO77" s="46"/>
      <c r="AP77" s="61">
        <f>IF(AO77="","",IF(AND(AM77="",AN77=""),"",IF(OR(AM77&lt;0,AN77&lt;0),"Error",IF(ROUND(((AO77/(AM77+AN77))*5/$V77),2)&gt;5,5,IF(ROUND(((AO77/(AM77+AN77))*5/$V77),2)&lt;0,"Error",ROUND(((AO77/(AM77+AN77))*5/$V77),2))))))</f>
      </c>
      <c r="AQ77" s="52"/>
      <c r="AR77" s="52"/>
      <c r="AS77" s="46"/>
      <c r="AT77" s="61">
        <f>IF(AS77="","",IF(AND(AQ77="",AR77=""),"",IF(OR(AQ77&lt;0,AR77&lt;0),"Error",IF(ROUND(((AS77/(AQ77+AR77))*5/$V77),2)&gt;5,5,IF(ROUND(((AS77/(AQ77+AR77))*5/$V77),2)&lt;0,"Error",ROUND(((AS77/(AQ77+AR77))*5/$V77),2))))))</f>
      </c>
      <c r="AU77" s="52"/>
      <c r="AV77" s="52"/>
      <c r="AW77" s="46"/>
      <c r="AX77" s="61">
        <f>IF(AW77="","",IF(AND(AU77="",AV77=""),"",IF(OR(AU77&lt;0,AV77&lt;0),"Error",IF(ROUND(((AW77/(AU77+AV77))*5/$V77),2)&gt;5,5,IF(ROUND(((AW77/(AU77+AV77))*5/$V77),2)&lt;0,"Error",ROUND(((AW77/(AU77+AV77))*5/$V77),2))))))</f>
      </c>
      <c r="AY77" s="52"/>
      <c r="AZ77" s="52"/>
      <c r="BA77" s="46"/>
      <c r="BB77" s="61">
        <f>IF(BA77="","",IF(AND(AY77="",AZ77=""),"",IF(OR(AY77&lt;0,AZ77&lt;0),"Error",IF(ROUND(((BA77/(AY77+AZ77))*5/$V77),2)&gt;5,5,IF(ROUND(((BA77/(AY77+AZ77))*5/$V77),2)&lt;0,"Error",ROUND(((BA77/(AY77+AZ77))*5/$V77),2))))))</f>
      </c>
      <c r="BC77" s="52"/>
      <c r="BD77" s="52"/>
      <c r="BE77" s="46"/>
      <c r="BF77" s="61">
        <f>IF(BE77="","",IF(AND(BC77="",BD77=""),"",IF(OR(BC77&lt;0,BD77&lt;0),"Error",IF(ROUND(((BE77/(BC77+BD77))*5/$V77),2)&gt;5,5,IF(ROUND(((BE77/(BC77+BD77))*5/$V77),2)&lt;0,"Error",ROUND(((BE77/(BC77+BD77))*5/$V77),2))))))</f>
      </c>
      <c r="BG77" s="52"/>
      <c r="BH77" s="52"/>
      <c r="BI77" s="46"/>
      <c r="BJ77" s="61">
        <f>IF(BI77="","",IF(AND(BG77="",BH77=""),"",IF(OR(BG77&lt;0,BH77&lt;0),"Error",IF(ROUND(((BI77/(BG77+BH77))*5/$V77),2)&gt;5,5,IF(ROUND(((BI77/(BG77+BH77))*5/$V77),2)&lt;0,"Error",ROUND(((BI77/(BG77+BH77))*5/$V77),2))))))</f>
      </c>
      <c r="BK77" s="104"/>
      <c r="BP77" s="65">
        <f>IF(AND(I79&lt;&gt;"",OR(E79=I79,F79=I79,G79=I79,H79=I79)),"ใส่เลขข้อซ้ำ",IF(AND(I79="",J79&lt;&gt;""),"space",IF(AND(J79&lt;&gt;"",I79&gt;J79),"ascending",IF(OR(I79="",I79=5,I79=6,I79=7),"","Error"))))</f>
      </c>
      <c r="BQ77" s="65">
        <f>IF(AND(J79&lt;&gt;"",OR(E79=J79,F79=J79,G79=J79,H79=J79,I79=J79)),"ใส่เลขข้อซ้ำ",IF(OR(J79="",J79=6,J79=7),"","Error"))</f>
      </c>
    </row>
    <row r="78" spans="1:72" ht="22.5" customHeight="1">
      <c r="A78" s="440" t="s">
        <v>76</v>
      </c>
      <c r="B78" s="326" t="str">
        <f>IF(C79="","",IF(OR(C79=1,C79=2,C79=3,C79=4,C79=5,C79=6),"ดำเนินการ",IF(C79=7,"ดำเนินการครบ","Error")))</f>
        <v>ดำเนินการ</v>
      </c>
      <c r="C78" s="327"/>
      <c r="D78" s="328"/>
      <c r="E78" s="329" t="str">
        <f>IF(J78="","",IF(OR(J78=0,J78=1,J78=2,J78=3,J78=4,J78=5,J78=6),"มีการดำเนินการ",IF(J78=7,"มีการดำเนินการครบ","Error")))</f>
        <v>มีการดำเนินการ</v>
      </c>
      <c r="F78" s="330"/>
      <c r="G78" s="330"/>
      <c r="H78" s="330"/>
      <c r="I78" s="330"/>
      <c r="J78" s="116">
        <v>6</v>
      </c>
      <c r="K78" s="331" t="str">
        <f>IF(J78="","",IF(OR(J78=1,J78=2,J78=3,J78=4,J78=5,J78=6),"ข้อ ได้แก่ข้อที่",IF(OR(J78=0,J78=7),"ข้อ","ใส่เลขผิด")))</f>
        <v>ข้อ ได้แก่ข้อที่</v>
      </c>
      <c r="L78" s="331"/>
      <c r="M78" s="332"/>
      <c r="N78" s="358">
        <f>IF(AND(C79="",J78="",E80=""),"",IF(OR(E80&lt;&gt;"",B78="Error"),"Error",IF(AND(OR(C79=1,C79=2,C79=3,C79=4,C79=5,C79=6,C79=7),OR(J78=0,J78=1,J78=2,J78=3,J78=4,J78=5,J78=6,J78=7)),LOOKUP(J78,{0,1,2,4,6,7},{0,1,2,3,4,5}),"Error")))</f>
        <v>4</v>
      </c>
      <c r="O78" s="424"/>
      <c r="P78" s="400" t="str">
        <f>IF(OR(C79="",B78="Error",E78="Error",E80&lt;&gt;""),"",IF(C79&lt;=J78,"ü","û"))</f>
        <v>ü</v>
      </c>
      <c r="Q78" s="401"/>
      <c r="R78" s="402"/>
      <c r="S78" s="287"/>
      <c r="T78" s="290">
        <f>IF(AND(C79="",J78&lt;&gt;""),"ต้องใส่จำนวนข้อเป้าหมาย",IF(AND(OR(C79="",C79=1,C79=2,C79=3,C79=4,C79=5,C79=6,C79=7),OR(J78="",J78=0,J78=1,J78=2,J78=3,J78=4,J78=5,J78=6,J78=7)),"",IF(AND(C79="",J78=""),"","ใส่เลขผิด")))</f>
      </c>
      <c r="U78" s="41" t="s">
        <v>49</v>
      </c>
      <c r="V78" s="38">
        <v>50000</v>
      </c>
      <c r="W78" s="53"/>
      <c r="X78" s="53"/>
      <c r="Y78" s="47"/>
      <c r="Z78" s="62">
        <f>IF(Y78="","",IF(AND(W78="",X78=""),"",IF(OR(W78&lt;0,X78&lt;0),"Error",IF(ROUND(((Y78/(W78+X78))*5/$V78),2)&gt;5,5,IF(ROUND(((Y78/(W78+X78))*5/$V78),2)&lt;0,"Error",ROUND(((Y78/(W78+X78))*5/$V78),2))))))</f>
      </c>
      <c r="AA78" s="53"/>
      <c r="AB78" s="53"/>
      <c r="AC78" s="47"/>
      <c r="AD78" s="62">
        <f>IF(AC78="","",IF(AND(AA78="",AB78=""),"",IF(OR(AA78&lt;0,AB78&lt;0),"Error",IF(ROUND(((AC78/(AA78+AB78))*5/$V78),2)&gt;5,5,IF(ROUND(((AC78/(AA78+AB78))*5/$V78),2)&lt;0,"Error",ROUND(((AC78/(AA78+AB78))*5/$V78),2))))))</f>
      </c>
      <c r="AE78" s="53"/>
      <c r="AF78" s="53"/>
      <c r="AG78" s="47"/>
      <c r="AH78" s="62">
        <f>IF(AG78="","",IF(AND(AE78="",AF78=""),"",IF(OR(AE78&lt;0,AF78&lt;0),"Error",IF(ROUND(((AG78/(AE78+AF78))*5/$V78),2)&gt;5,5,IF(ROUND(((AG78/(AE78+AF78))*5/$V78),2)&lt;0,"Error",ROUND(((AG78/(AE78+AF78))*5/$V78),2))))))</f>
      </c>
      <c r="AI78" s="53"/>
      <c r="AJ78" s="53"/>
      <c r="AK78" s="47"/>
      <c r="AL78" s="62">
        <f>IF(AK78="","",IF(AND(AI78="",AJ78=""),"",IF(OR(AI78&lt;0,AJ78&lt;0),"Error",IF(ROUND(((AK78/(AI78+AJ78))*5/$V78),2)&gt;5,5,IF(ROUND(((AK78/(AI78+AJ78))*5/$V78),2)&lt;0,"Error",ROUND(((AK78/(AI78+AJ78))*5/$V78),2))))))</f>
      </c>
      <c r="AM78" s="53"/>
      <c r="AN78" s="53"/>
      <c r="AO78" s="47"/>
      <c r="AP78" s="62">
        <f>IF(AO78="","",IF(AND(AM78="",AN78=""),"",IF(OR(AM78&lt;0,AN78&lt;0),"Error",IF(ROUND(((AO78/(AM78+AN78))*5/$V78),2)&gt;5,5,IF(ROUND(((AO78/(AM78+AN78))*5/$V78),2)&lt;0,"Error",ROUND(((AO78/(AM78+AN78))*5/$V78),2))))))</f>
      </c>
      <c r="AQ78" s="53"/>
      <c r="AR78" s="53"/>
      <c r="AS78" s="47"/>
      <c r="AT78" s="62">
        <f>IF(AS78="","",IF(AND(AQ78="",AR78=""),"",IF(OR(AQ78&lt;0,AR78&lt;0),"Error",IF(ROUND(((AS78/(AQ78+AR78))*5/$V78),2)&gt;5,5,IF(ROUND(((AS78/(AQ78+AR78))*5/$V78),2)&lt;0,"Error",ROUND(((AS78/(AQ78+AR78))*5/$V78),2))))))</f>
      </c>
      <c r="AU78" s="53"/>
      <c r="AV78" s="53"/>
      <c r="AW78" s="47"/>
      <c r="AX78" s="62">
        <f>IF(AW78="","",IF(AND(AU78="",AV78=""),"",IF(OR(AU78&lt;0,AV78&lt;0),"Error",IF(ROUND(((AW78/(AU78+AV78))*5/$V78),2)&gt;5,5,IF(ROUND(((AW78/(AU78+AV78))*5/$V78),2)&lt;0,"Error",ROUND(((AW78/(AU78+AV78))*5/$V78),2))))))</f>
      </c>
      <c r="AY78" s="53"/>
      <c r="AZ78" s="53"/>
      <c r="BA78" s="47"/>
      <c r="BB78" s="62">
        <f>IF(BA78="","",IF(AND(AY78="",AZ78=""),"",IF(OR(AY78&lt;0,AZ78&lt;0),"Error",IF(ROUND(((BA78/(AY78+AZ78))*5/$V78),2)&gt;5,5,IF(ROUND(((BA78/(AY78+AZ78))*5/$V78),2)&lt;0,"Error",ROUND(((BA78/(AY78+AZ78))*5/$V78),2))))))</f>
      </c>
      <c r="BC78" s="53"/>
      <c r="BD78" s="53"/>
      <c r="BE78" s="47"/>
      <c r="BF78" s="62">
        <f>IF(BE78="","",IF(AND(BC78="",BD78=""),"",IF(OR(BC78&lt;0,BD78&lt;0),"Error",IF(ROUND(((BE78/(BC78+BD78))*5/$V78),2)&gt;5,5,IF(ROUND(((BE78/(BC78+BD78))*5/$V78),2)&lt;0,"Error",ROUND(((BE78/(BC78+BD78))*5/$V78),2))))))</f>
      </c>
      <c r="BG78" s="53"/>
      <c r="BH78" s="53"/>
      <c r="BI78" s="47"/>
      <c r="BJ78" s="62">
        <f>IF(BI78="","",IF(AND(BG78="",BH78=""),"",IF(OR(BG78&lt;0,BH78&lt;0),"Error",IF(ROUND(((BI78/(BG78+BH78))*5/$V78),2)&gt;5,5,IF(ROUND(((BI78/(BG78+BH78))*5/$V78),2)&lt;0,"Error",ROUND(((BI78/(BG78+BH78))*5/$V78),2))))))</f>
      </c>
      <c r="BK78" s="96"/>
      <c r="BP78" s="85">
        <f>IF(COUNTIF(BP76:BS76:BP77:BQ77,"Error")&gt;0,"Error","")</f>
      </c>
      <c r="BQ78" s="75">
        <f>COUNT(E79:J79)</f>
        <v>6</v>
      </c>
      <c r="BR78" s="552">
        <f>IF(COUNTIF(BP76,"incorrect")&gt;0,"ให้ใส่เป้าหมายและผลที่ดำเนินการได้ก่อน",IF(COUNTIF(BP76:BS76:BP77:BQ77,"space")&gt;0,"ให้ใส่เลขข้อโดยไม่ข้ามช่องว่าง",IF(COUNTIF(BP76:BS76:BP77:BQ77,"ascending")&gt;0,"ให้เรียงเลขข้อจากน้อยไปมาก",IF(COUNTIF(BQ76:BS76:BP77:BQ77,"ใส่เลขข้อซ้ำ")&gt;0,"ใส่เลขข้อซ้ำ",""))))</f>
      </c>
      <c r="BS78" s="553"/>
      <c r="BT78" s="554"/>
    </row>
    <row r="79" spans="1:71" ht="22.5" customHeight="1">
      <c r="A79" s="455"/>
      <c r="B79" s="81"/>
      <c r="C79" s="146">
        <v>4</v>
      </c>
      <c r="D79" s="74" t="str">
        <f>IF(C79="","",IF(OR(C79=1,C79=2,C79=3,C79=4,C79=5,C79=6,C79=7),"ข้อ",""))</f>
        <v>ข้อ</v>
      </c>
      <c r="E79" s="114">
        <v>1</v>
      </c>
      <c r="F79" s="115">
        <v>2</v>
      </c>
      <c r="G79" s="115">
        <v>3</v>
      </c>
      <c r="H79" s="115">
        <v>4</v>
      </c>
      <c r="I79" s="115">
        <v>5</v>
      </c>
      <c r="J79" s="115">
        <v>6</v>
      </c>
      <c r="K79" s="438"/>
      <c r="L79" s="438"/>
      <c r="M79" s="439"/>
      <c r="N79" s="359"/>
      <c r="O79" s="425"/>
      <c r="P79" s="403"/>
      <c r="Q79" s="404"/>
      <c r="R79" s="405"/>
      <c r="S79" s="345"/>
      <c r="T79" s="291"/>
      <c r="U79" s="42" t="s">
        <v>50</v>
      </c>
      <c r="V79" s="37">
        <v>25000</v>
      </c>
      <c r="W79" s="54"/>
      <c r="X79" s="54"/>
      <c r="Y79" s="48"/>
      <c r="Z79" s="63">
        <f>IF(Y79="","",IF(AND(W79="",X79=""),"",IF(OR(W79&lt;0,X79&lt;0),"Error",IF(ROUND(((Y79/(W79+X79))*5/$V79),2)&gt;5,5,IF(ROUND(((Y79/(W79+X79))*5/$V79),2)&lt;0,"Error",ROUND(((Y79/(W79+X79))*5/$V79),2))))))</f>
      </c>
      <c r="AA79" s="54"/>
      <c r="AB79" s="54"/>
      <c r="AC79" s="48"/>
      <c r="AD79" s="63">
        <f>IF(AC79="","",IF(AND(AA79="",AB79=""),"",IF(OR(AA79&lt;0,AB79&lt;0),"Error",IF(ROUND(((AC79/(AA79+AB79))*5/$V79),2)&gt;5,5,IF(ROUND(((AC79/(AA79+AB79))*5/$V79),2)&lt;0,"Error",ROUND(((AC79/(AA79+AB79))*5/$V79),2))))))</f>
      </c>
      <c r="AE79" s="54"/>
      <c r="AF79" s="54"/>
      <c r="AG79" s="48"/>
      <c r="AH79" s="63">
        <f>IF(AG79="","",IF(AND(AE79="",AF79=""),"",IF(OR(AE79&lt;0,AF79&lt;0),"Error",IF(ROUND(((AG79/(AE79+AF79))*5/$V79),2)&gt;5,5,IF(ROUND(((AG79/(AE79+AF79))*5/$V79),2)&lt;0,"Error",ROUND(((AG79/(AE79+AF79))*5/$V79),2))))))</f>
      </c>
      <c r="AI79" s="54"/>
      <c r="AJ79" s="54"/>
      <c r="AK79" s="48"/>
      <c r="AL79" s="63">
        <f>IF(AK79="","",IF(AND(AI79="",AJ79=""),"",IF(OR(AI79&lt;0,AJ79&lt;0),"Error",IF(ROUND(((AK79/(AI79+AJ79))*5/$V79),2)&gt;5,5,IF(ROUND(((AK79/(AI79+AJ79))*5/$V79),2)&lt;0,"Error",ROUND(((AK79/(AI79+AJ79))*5/$V79),2))))))</f>
      </c>
      <c r="AM79" s="54"/>
      <c r="AN79" s="54"/>
      <c r="AO79" s="48"/>
      <c r="AP79" s="63">
        <f>IF(AO79="","",IF(AND(AM79="",AN79=""),"",IF(OR(AM79&lt;0,AN79&lt;0),"Error",IF(ROUND(((AO79/(AM79+AN79))*5/$V79),2)&gt;5,5,IF(ROUND(((AO79/(AM79+AN79))*5/$V79),2)&lt;0,"Error",ROUND(((AO79/(AM79+AN79))*5/$V79),2))))))</f>
      </c>
      <c r="AQ79" s="54"/>
      <c r="AR79" s="54"/>
      <c r="AS79" s="48"/>
      <c r="AT79" s="63">
        <f>IF(AS79="","",IF(AND(AQ79="",AR79=""),"",IF(OR(AQ79&lt;0,AR79&lt;0),"Error",IF(ROUND(((AS79/(AQ79+AR79))*5/$V79),2)&gt;5,5,IF(ROUND(((AS79/(AQ79+AR79))*5/$V79),2)&lt;0,"Error",ROUND(((AS79/(AQ79+AR79))*5/$V79),2))))))</f>
      </c>
      <c r="AU79" s="54"/>
      <c r="AV79" s="54"/>
      <c r="AW79" s="48"/>
      <c r="AX79" s="63">
        <f>IF(AW79="","",IF(AND(AU79="",AV79=""),"",IF(OR(AU79&lt;0,AV79&lt;0),"Error",IF(ROUND(((AW79/(AU79+AV79))*5/$V79),2)&gt;5,5,IF(ROUND(((AW79/(AU79+AV79))*5/$V79),2)&lt;0,"Error",ROUND(((AW79/(AU79+AV79))*5/$V79),2))))))</f>
      </c>
      <c r="AY79" s="54"/>
      <c r="AZ79" s="54"/>
      <c r="BA79" s="48"/>
      <c r="BB79" s="63">
        <f>IF(BA79="","",IF(AND(AY79="",AZ79=""),"",IF(OR(AY79&lt;0,AZ79&lt;0),"Error",IF(ROUND(((BA79/(AY79+AZ79))*5/$V79),2)&gt;5,5,IF(ROUND(((BA79/(AY79+AZ79))*5/$V79),2)&lt;0,"Error",ROUND(((BA79/(AY79+AZ79))*5/$V79),2))))))</f>
      </c>
      <c r="BC79" s="54"/>
      <c r="BD79" s="54"/>
      <c r="BE79" s="48"/>
      <c r="BF79" s="63">
        <f>IF(BE79="","",IF(AND(BC79="",BD79=""),"",IF(OR(BC79&lt;0,BD79&lt;0),"Error",IF(ROUND(((BE79/(BC79+BD79))*5/$V79),2)&gt;5,5,IF(ROUND(((BE79/(BC79+BD79))*5/$V79),2)&lt;0,"Error",ROUND(((BE79/(BC79+BD79))*5/$V79),2))))))</f>
      </c>
      <c r="BG79" s="54"/>
      <c r="BH79" s="54"/>
      <c r="BI79" s="48"/>
      <c r="BJ79" s="63">
        <f>IF(BI79="","",IF(AND(BG79="",BH79=""),"",IF(OR(BG79&lt;0,BH79&lt;0),"Error",IF(ROUND(((BI79/(BG79+BH79))*5/$V79),2)&gt;5,5,IF(ROUND(((BI79/(BG79+BH79))*5/$V79),2)&lt;0,"Error",ROUND(((BI79/(BG79+BH79))*5/$V79),2))))))</f>
      </c>
      <c r="BK79" s="96"/>
      <c r="BL79" s="55">
        <f>IF(OR(W80="Error",AA80="Error",AE80="Error",AI80="Error",AM80="Error",AQ80="Error",AU80="Error",AY80="Error",BC80="Error",BG80="Error"),"Error",IF(COUNT(W80,AA80,AE80,AI80,AM80,AQ80,AU80,AY80,BC80,BG80)=0,"",SUM(W80,AA80,AE80,AI80,AM80,AQ80,AU80,AY80,BC80,BG80)))</f>
      </c>
      <c r="BM79" s="56">
        <f>IF(OR(X80="Error",AB80="Error",AF80="Error",AJ80="Error",AN80="Error",AR80="Error",AV80="Error",AZ80="Error",BD80="Error",BH80="Error"),"Error",IF(COUNT(X80,AB80,AF80,AJ80,AN80,AR80,AV80,AZ80,BD80,BH80)=0,"",SUM(X80,AB80,AF80,AJ80,AN80,AR80,AV80,AZ80,BD80,BH80)))</f>
      </c>
      <c r="BN79" s="57">
        <f>IF(COUNT(Z80,AD80,AH80,AL80,AP80,AT80,AX80,BB80,BF80,BJ80)=0,"",ROUND(AVERAGE(Z80,AD80,AH80,AL80,AP80,AT80,AX80,BB80,BF80,BJ80),2))</f>
      </c>
      <c r="BP79" s="65">
        <f>IF(AND(E82="",F82="",G82="",H82=""),"",IF(AND(C82="",J81="",E82&lt;&gt;""),"incorrect",IF(AND(E82="",F82&lt;&gt;""),"space",IF(AND(F82&lt;&gt;"",E82&gt;F82),"ascending",IF(OR(E82="",E82=1,E82=2,E82=3,E82=4,E82=5),"","Error")))))</f>
      </c>
      <c r="BQ79" s="65">
        <f>IF(AND(F82&lt;&gt;"",E82=F82),"ใส่เลขข้อซ้ำ",IF(AND(F82="",G82&lt;&gt;""),"space",IF(AND(G82&lt;&gt;"",F82&gt;G82),"ascending",IF(OR(F82="",F82=2,F82=3,F82=4,F82=5),"","Error"))))</f>
      </c>
      <c r="BR79" s="65">
        <f>IF(AND(G82&lt;&gt;"",OR(E82=G82,F82=G82)),"ใส่เลขข้อซ้ำ",IF(AND(G82="",H82&lt;&gt;""),"space",IF(AND(H82&lt;&gt;"",G82&gt;H82),"ascending",IF(OR(G82="",G82=3,G82=4,G82=5),"","Error"))))</f>
      </c>
      <c r="BS79" s="65">
        <f>IF(AND(H82&lt;&gt;"",OR(E82=H82,F82=H82,G82=H82)),"ใส่เลขข้อซ้ำ",IF(OR(H82="",H82=4,H82=5),"","Error"))</f>
      </c>
    </row>
    <row r="80" spans="1:71" ht="45" customHeight="1">
      <c r="A80" s="456"/>
      <c r="B80" s="365"/>
      <c r="C80" s="366"/>
      <c r="D80" s="367"/>
      <c r="E80" s="341">
        <f>IF(OR(B78="Error",E78="Error"),"",IF(AND(C79&lt;&gt;"",J78=""),"ให้ใส่จำนวนข้อที่ดำเนินการได้ทั้งหมด",IF(AND(J78=7,E79="",F79="",G79="",H79="",I79="",J79=""),"",IF(AND(OR(J78=0,J78=7),OR(E79&lt;&gt;"",F79&lt;&gt;"",G79&lt;&gt;"",H79&lt;&gt;"",I79&lt;&gt;"",J79&lt;&gt;"")),"ไม่ต้องใส่เลขข้อที่ได้ดำเนินการ",IF(AND(J78&lt;7,J78&gt;0,C79&lt;&gt;"",E79="",F79="",G79="",H79="",I79="",J79=""),"ใส่เลขข้อที่ได้ดำเนินการ",IF(BR78&lt;&gt;"",BR78,IF(BP78="Error","ใส่เลขผิด",IF(J78&lt;&gt;BQ78,"จำนวนข้อที่ดำเนินการไม่เท่ากับข้อที่ระบุ",""))))))))</f>
      </c>
      <c r="F80" s="466"/>
      <c r="G80" s="466"/>
      <c r="H80" s="466"/>
      <c r="I80" s="466"/>
      <c r="J80" s="466"/>
      <c r="K80" s="466"/>
      <c r="L80" s="466"/>
      <c r="M80" s="467"/>
      <c r="N80" s="360"/>
      <c r="O80" s="426"/>
      <c r="P80" s="406"/>
      <c r="Q80" s="407"/>
      <c r="R80" s="408"/>
      <c r="S80" s="288"/>
      <c r="T80" s="292"/>
      <c r="U80" s="511" t="s">
        <v>51</v>
      </c>
      <c r="V80" s="512"/>
      <c r="W80" s="59">
        <f>IF(AND(W77="",W78="",W79=""),"",IF(OR(W77&lt;0,W78&lt;0,W79&lt;0),"Error",SUM(W77:W79)))</f>
      </c>
      <c r="X80" s="60">
        <f>IF(AND(X77="",X78="",X79=""),"",IF(OR(X77&lt;0,X78&lt;0,X79&lt;0),"Error",SUM(X77:X79)))</f>
      </c>
      <c r="Y80" s="43">
        <f>IF(AND(Y77="",Y78="",Y79=""),"",ROUND(SUM(Y77:Y79),2))</f>
      </c>
      <c r="Z80" s="44">
        <f>IF(COUNT(Z77:Z79)=0,"",ROUND(AVERAGE(Z77:Z79),2))</f>
      </c>
      <c r="AA80" s="59">
        <f>IF(AND(AA77="",AA78="",AA79=""),"",IF(OR(AA77&lt;0,AA78&lt;0,AA79&lt;0),"Error",SUM(AA77:AA79)))</f>
      </c>
      <c r="AB80" s="60">
        <f>IF(AND(AB77="",AB78="",AB79=""),"",IF(OR(AB77&lt;0,AB78&lt;0,AB79&lt;0),"Error",SUM(AB77:AB79)))</f>
      </c>
      <c r="AC80" s="43">
        <f>IF(AND(AC77="",AC78="",AC79=""),"",ROUND(SUM(AC77:AC79),2))</f>
      </c>
      <c r="AD80" s="44">
        <f>IF(COUNT(AD77:AD79)=0,"",ROUND(AVERAGE(AD77:AD79),2))</f>
      </c>
      <c r="AE80" s="59">
        <f>IF(AND(AE77="",AE78="",AE79=""),"",IF(OR(AE77&lt;0,AE78&lt;0,AE79&lt;0),"Error",SUM(AE77:AE79)))</f>
      </c>
      <c r="AF80" s="60">
        <f>IF(AND(AF77="",AF78="",AF79=""),"",IF(OR(AF77&lt;0,AF78&lt;0,AF79&lt;0),"Error",SUM(AF77:AF79)))</f>
      </c>
      <c r="AG80" s="43">
        <f>IF(AND(AG77="",AG78="",AG79=""),"",ROUND(SUM(AG77:AG79),2))</f>
      </c>
      <c r="AH80" s="44">
        <f>IF(COUNT(AH77:AH79)=0,"",ROUND(AVERAGE(AH77:AH79),2))</f>
      </c>
      <c r="AI80" s="59">
        <f>IF(AND(AI77="",AI78="",AI79=""),"",IF(OR(AI77&lt;0,AI78&lt;0,AI79&lt;0),"Error",SUM(AI77:AI79)))</f>
      </c>
      <c r="AJ80" s="60">
        <f>IF(AND(AJ77="",AJ78="",AJ79=""),"",IF(OR(AJ77&lt;0,AJ78&lt;0,AJ79&lt;0),"Error",SUM(AJ77:AJ79)))</f>
      </c>
      <c r="AK80" s="43">
        <f>IF(AND(AK77="",AK78="",AK79=""),"",ROUND(SUM(AK77:AK79),2))</f>
      </c>
      <c r="AL80" s="44">
        <f>IF(COUNT(AL77:AL79)=0,"",ROUND(AVERAGE(AL77:AL79),2))</f>
      </c>
      <c r="AM80" s="59">
        <f>IF(AND(AM77="",AM78="",AM79=""),"",IF(OR(AM77&lt;0,AM78&lt;0,AM79&lt;0),"Error",SUM(AM77:AM79)))</f>
      </c>
      <c r="AN80" s="60">
        <f>IF(AND(AN77="",AN78="",AN79=""),"",IF(OR(AN77&lt;0,AN78&lt;0,AN79&lt;0),"Error",SUM(AN77:AN79)))</f>
      </c>
      <c r="AO80" s="43">
        <f>IF(AND(AO77="",AO78="",AO79=""),"",ROUND(SUM(AO77:AO79),2))</f>
      </c>
      <c r="AP80" s="44">
        <f>IF(COUNT(AP77:AP79)=0,"",ROUND(AVERAGE(AP77:AP79),2))</f>
      </c>
      <c r="AQ80" s="59">
        <f>IF(AND(AQ77="",AQ78="",AQ79=""),"",IF(OR(AQ77&lt;0,AQ78&lt;0,AQ79&lt;0),"Error",SUM(AQ77:AQ79)))</f>
      </c>
      <c r="AR80" s="60">
        <f>IF(AND(AR77="",AR78="",AR79=""),"",IF(OR(AR77&lt;0,AR78&lt;0,AR79&lt;0),"Error",SUM(AR77:AR79)))</f>
      </c>
      <c r="AS80" s="43">
        <f>IF(AND(AS77="",AS78="",AS79=""),"",ROUND(SUM(AS77:AS79),2))</f>
      </c>
      <c r="AT80" s="44">
        <f>IF(COUNT(AT77:AT79)=0,"",ROUND(AVERAGE(AT77:AT79),2))</f>
      </c>
      <c r="AU80" s="59">
        <f>IF(AND(AU77="",AU78="",AU79=""),"",IF(OR(AU77&lt;0,AU78&lt;0,AU79&lt;0),"Error",SUM(AU77:AU79)))</f>
      </c>
      <c r="AV80" s="60">
        <f>IF(AND(AV77="",AV78="",AV79=""),"",IF(OR(AV77&lt;0,AV78&lt;0,AV79&lt;0),"Error",SUM(AV77:AV79)))</f>
      </c>
      <c r="AW80" s="43">
        <f>IF(AND(AW77="",AW78="",AW79=""),"",ROUND(SUM(AW77:AW79),2))</f>
      </c>
      <c r="AX80" s="44">
        <f>IF(COUNT(AX77:AX79)=0,"",ROUND(AVERAGE(AX77:AX79),2))</f>
      </c>
      <c r="AY80" s="59">
        <f>IF(AND(AY77="",AY78="",AY79=""),"",IF(OR(AY77&lt;0,AY78&lt;0,AY79&lt;0),"Error",SUM(AY77:AY79)))</f>
      </c>
      <c r="AZ80" s="60">
        <f>IF(AND(AZ77="",AZ78="",AZ79=""),"",IF(OR(AZ77&lt;0,AZ78&lt;0,AZ79&lt;0),"Error",SUM(AZ77:AZ79)))</f>
      </c>
      <c r="BA80" s="43">
        <f>IF(AND(BA77="",BA78="",BA79=""),"",ROUND(SUM(BA77:BA79),2))</f>
      </c>
      <c r="BB80" s="44">
        <f>IF(COUNT(BB77:BB79)=0,"",ROUND(AVERAGE(BB77:BB79),2))</f>
      </c>
      <c r="BC80" s="59">
        <f>IF(AND(BC77="",BC78="",BC79=""),"",IF(OR(BC77&lt;0,BC78&lt;0,BC79&lt;0),"Error",SUM(BC77:BC79)))</f>
      </c>
      <c r="BD80" s="60">
        <f>IF(AND(BD77="",BD78="",BD79=""),"",IF(OR(BD77&lt;0,BD78&lt;0,BD79&lt;0),"Error",SUM(BD77:BD79)))</f>
      </c>
      <c r="BE80" s="43">
        <f>IF(AND(BE77="",BE78="",BE79=""),"",ROUND(SUM(BE77:BE79),2))</f>
      </c>
      <c r="BF80" s="44">
        <f>IF(COUNT(BF77:BF79)=0,"",ROUND(AVERAGE(BF77:BF79),2))</f>
      </c>
      <c r="BG80" s="59">
        <f>IF(AND(BG77="",BG78="",BG79=""),"",IF(OR(BG77&lt;0,BG78&lt;0,BG79&lt;0),"Error",SUM(BG77:BG79)))</f>
      </c>
      <c r="BH80" s="60">
        <f>IF(AND(BH77="",BH78="",BH79=""),"",IF(OR(BH77&lt;0,BH78&lt;0,BH79&lt;0),"Error",SUM(BH77:BH79)))</f>
      </c>
      <c r="BI80" s="43">
        <f>IF(AND(BI77="",BI78="",BI79=""),"",ROUND(SUM(BI77:BI79),2))</f>
      </c>
      <c r="BJ80" s="44">
        <f>IF(COUNT(BJ77:BJ79)=0,"",ROUND(AVERAGE(BJ77:BJ79),2))</f>
      </c>
      <c r="BK80" s="96"/>
      <c r="BL80" s="510">
        <f>IF(COUNT(Y80,AC80,AG80,AK80,AO80,AS80,AW80,BA80,BE80,BI80)=0,"",IF(OR(Y80&lt;1,AC80&lt;1,AG80&lt;1,AK80&lt;1,AO80&lt;1,AS80&lt;1,AW80&lt;1,BA80&lt;1,BE80&lt;1,BI80&lt;1),"Error",SUM(Y80,AC80,AG80,AK80,AO80,AS80,AW80,BA80,BE80,BI80)))</f>
      </c>
      <c r="BM80" s="510"/>
      <c r="BN80" s="510"/>
      <c r="BP80" s="85">
        <f>IF(COUNTIF(BP79:BS79,"Error")&gt;0,"Error","")</f>
      </c>
      <c r="BQ80" s="67">
        <f>COUNT(E82:H82)</f>
        <v>0</v>
      </c>
      <c r="BR80" s="446">
        <f>IF(COUNTIF(BP79,"incorrect")&gt;0,"ให้ใส่เป้าหมายและผลที่ดำเนินการได้ก่อน",IF(COUNTIF(BP79:BS79,"space")&gt;0,"ให้ใส่เลขข้อโดยไม่ข้ามช่องว่าง",IF(COUNTIF(BP79:BS79,"ascending")&gt;0,"ให้เรียงเลขข้อจากน้อยไปมาก",IF(COUNTIF(BQ79:BS79,"ใส่เลขข้อซ้ำ")&gt;0,"ใส่เลขข้อซ้ำ",""))))</f>
      </c>
      <c r="BS80" s="446"/>
    </row>
    <row r="81" spans="1:63" ht="22.5" customHeight="1">
      <c r="A81" s="440" t="s">
        <v>77</v>
      </c>
      <c r="B81" s="326" t="str">
        <f>IF(C82="","",IF(OR(C82=1,C82=2,C82=3,C82=4),"ดำเนินการ",IF(C82=5,"ดำเนินการครบ","Error")))</f>
        <v>ดำเนินการ</v>
      </c>
      <c r="C81" s="327"/>
      <c r="D81" s="328"/>
      <c r="E81" s="329" t="str">
        <f>IF(J81="","",IF(OR(J81=0,J81=1,J81=2,J81=3,J81=4),"มีการดำเนินการ",IF(J81=5,"มีการดำเนินการครบ","Error")))</f>
        <v>มีการดำเนินการครบ</v>
      </c>
      <c r="F81" s="330"/>
      <c r="G81" s="330"/>
      <c r="H81" s="330"/>
      <c r="I81" s="330"/>
      <c r="J81" s="116">
        <v>5</v>
      </c>
      <c r="K81" s="331" t="str">
        <f>IF(J81="","",IF(OR(J81=1,J81=2,J81=3,J81=4),"ข้อ ได้แก่ข้อที่",IF(OR(J81=0,J81=5),"ข้อ","ใส่เลขผิด")))</f>
        <v>ข้อ</v>
      </c>
      <c r="L81" s="331"/>
      <c r="M81" s="332"/>
      <c r="N81" s="358">
        <f>IF(AND(C82="",J81="",E83=""),"",IF(OR(E83&lt;&gt;"",B81="Error"),"Error",IF(AND(OR(C82=1,C82=2,C82=3,C82=4,C82=5),OR(J81=0,J81=1,J81=2,J81=3,J81=4,J81=5)),LOOKUP(J81,{0,1,2,3,4,5},{0,1,2,3,4,5}),"Error")))</f>
        <v>5</v>
      </c>
      <c r="O81" s="424"/>
      <c r="P81" s="400" t="str">
        <f>IF(OR(C82="",B81="Error",E81="Error",E83&lt;&gt;""),"",IF(C82&lt;=J81,"ü","û"))</f>
        <v>ü</v>
      </c>
      <c r="Q81" s="401"/>
      <c r="R81" s="402"/>
      <c r="S81" s="287"/>
      <c r="T81" s="290">
        <f>IF(AND(C82="",J81&lt;&gt;""),"ต้องใส่จำนวนข้อเป้าหมาย",IF(AND(OR(C82="",C82=1,C82=2,C82=3,C82=4,C82=5),OR(J81="",J81=0,J81=1,J81=2,J81=3,J81=4,J81=5)),"",IF(AND(C82="",J81=""),"","ใส่เลขผิด")))</f>
      </c>
      <c r="BK81" s="97"/>
    </row>
    <row r="82" spans="1:71" ht="22.5" customHeight="1">
      <c r="A82" s="455"/>
      <c r="B82" s="81"/>
      <c r="C82" s="146">
        <v>3</v>
      </c>
      <c r="D82" s="74" t="str">
        <f>IF(C82="","",IF(OR(C82=1,C82=2,C82=3,C82=4,C82=5),"ข้อ",""))</f>
        <v>ข้อ</v>
      </c>
      <c r="E82" s="114"/>
      <c r="F82" s="115"/>
      <c r="G82" s="115"/>
      <c r="H82" s="115"/>
      <c r="I82" s="363"/>
      <c r="J82" s="363"/>
      <c r="K82" s="363"/>
      <c r="L82" s="363"/>
      <c r="M82" s="364"/>
      <c r="N82" s="359"/>
      <c r="O82" s="425"/>
      <c r="P82" s="403"/>
      <c r="Q82" s="404"/>
      <c r="R82" s="405"/>
      <c r="S82" s="345"/>
      <c r="T82" s="291"/>
      <c r="U82" s="68" t="s">
        <v>56</v>
      </c>
      <c r="V82" s="69"/>
      <c r="W82" s="480">
        <v>41</v>
      </c>
      <c r="X82" s="481"/>
      <c r="Y82" s="481"/>
      <c r="Z82" s="482"/>
      <c r="AA82" s="480">
        <v>42</v>
      </c>
      <c r="AB82" s="481"/>
      <c r="AC82" s="481"/>
      <c r="AD82" s="482"/>
      <c r="AE82" s="480">
        <v>43</v>
      </c>
      <c r="AF82" s="481"/>
      <c r="AG82" s="481"/>
      <c r="AH82" s="482"/>
      <c r="AI82" s="480">
        <v>44</v>
      </c>
      <c r="AJ82" s="481"/>
      <c r="AK82" s="481"/>
      <c r="AL82" s="482"/>
      <c r="AM82" s="480">
        <v>45</v>
      </c>
      <c r="AN82" s="481"/>
      <c r="AO82" s="481"/>
      <c r="AP82" s="482"/>
      <c r="AQ82" s="480">
        <v>46</v>
      </c>
      <c r="AR82" s="481"/>
      <c r="AS82" s="481"/>
      <c r="AT82" s="482"/>
      <c r="AU82" s="480">
        <v>47</v>
      </c>
      <c r="AV82" s="481"/>
      <c r="AW82" s="481"/>
      <c r="AX82" s="482"/>
      <c r="AY82" s="480">
        <v>48</v>
      </c>
      <c r="AZ82" s="481"/>
      <c r="BA82" s="481"/>
      <c r="BB82" s="482"/>
      <c r="BC82" s="480">
        <v>49</v>
      </c>
      <c r="BD82" s="481"/>
      <c r="BE82" s="481"/>
      <c r="BF82" s="482"/>
      <c r="BG82" s="480">
        <v>50</v>
      </c>
      <c r="BH82" s="481"/>
      <c r="BI82" s="481"/>
      <c r="BJ82" s="482"/>
      <c r="BK82" s="97"/>
      <c r="BP82" s="65">
        <f>IF(AND(E85="",F85="",G85="",H85=""),"",IF(AND(C85="",J84="",E85&lt;&gt;""),"incorrect",IF(AND(E85="",F85&lt;&gt;""),"space",IF(AND(F85&lt;&gt;"",E85&gt;F85),"ascending",IF(OR(E85="",E85=1,E85=2,E85=3,E85=4,E85=5),"","Error")))))</f>
      </c>
      <c r="BQ82" s="65">
        <f>IF(AND(F85&lt;&gt;"",E85=F85),"ใส่เลขข้อซ้ำ",IF(AND(F85="",G85&lt;&gt;""),"space",IF(AND(G85&lt;&gt;"",F85&gt;G85),"ascending",IF(OR(F85="",F85=2,F85=3,F85=4,F85=5),"","Error"))))</f>
      </c>
      <c r="BR82" s="65">
        <f>IF(AND(G85&lt;&gt;"",OR(E85=G85,F85=G85)),"ใส่เลขข้อซ้ำ",IF(AND(G85="",H85&lt;&gt;""),"space",IF(AND(H85&lt;&gt;"",G85&gt;H85),"ascending",IF(OR(G85="",G85=3,G85=4,G85=5),"","Error"))))</f>
      </c>
      <c r="BS82" s="65">
        <f>IF(AND(H85&lt;&gt;"",OR(E85=H85,F85=H85,G85=H85)),"ใส่เลขข้อซ้ำ",IF(OR(H85="",H85=4,H85=5),"","Error"))</f>
      </c>
    </row>
    <row r="83" spans="1:71" ht="22.5" customHeight="1">
      <c r="A83" s="456"/>
      <c r="B83" s="365"/>
      <c r="C83" s="366"/>
      <c r="D83" s="367"/>
      <c r="E83" s="341">
        <f>IF(OR(B81="Error",E81="Error"),"",IF(AND(C82&lt;&gt;"",J81=""),"ให้ใส่จำนวนข้อที่ดำเนินการได้ทั้งหมด",IF(AND(J81=5,E82="",F82="",G82="",H82=""),"",IF(AND(OR(J81=0,J81=5),OR(E82&lt;&gt;"",F82&lt;&gt;"",G82&lt;&gt;"",H82&lt;&gt;"")),"ไม่ต้องใส่เลขข้อที่ได้ดำเนินการ",IF(AND(J81&lt;5,J81&gt;0,C82&lt;&gt;"",E82="",F82="",G82="",H82=""),"ใส่เลขข้อที่ได้ดำเนินการ",IF(BR80&lt;&gt;"",BR80,IF(BP80="Error","ใส่เลขผิด",IF(J81&lt;&gt;BQ80,"จำนวนข้อที่ดำเนินการไม่เท่ากับข้อที่ระบุ",""))))))))</f>
      </c>
      <c r="F83" s="466"/>
      <c r="G83" s="466"/>
      <c r="H83" s="466"/>
      <c r="I83" s="466"/>
      <c r="J83" s="466"/>
      <c r="K83" s="466"/>
      <c r="L83" s="466"/>
      <c r="M83" s="467"/>
      <c r="N83" s="360"/>
      <c r="O83" s="426"/>
      <c r="P83" s="406"/>
      <c r="Q83" s="407"/>
      <c r="R83" s="408"/>
      <c r="S83" s="288"/>
      <c r="T83" s="292"/>
      <c r="U83" s="110"/>
      <c r="V83" s="49"/>
      <c r="W83" s="85" t="s">
        <v>46</v>
      </c>
      <c r="X83" s="50" t="s">
        <v>47</v>
      </c>
      <c r="Y83" s="474" t="s">
        <v>58</v>
      </c>
      <c r="Z83" s="475"/>
      <c r="AA83" s="85" t="s">
        <v>46</v>
      </c>
      <c r="AB83" s="50" t="s">
        <v>47</v>
      </c>
      <c r="AC83" s="474" t="s">
        <v>58</v>
      </c>
      <c r="AD83" s="475"/>
      <c r="AE83" s="85" t="s">
        <v>46</v>
      </c>
      <c r="AF83" s="50" t="s">
        <v>47</v>
      </c>
      <c r="AG83" s="474" t="s">
        <v>58</v>
      </c>
      <c r="AH83" s="475"/>
      <c r="AI83" s="85" t="s">
        <v>46</v>
      </c>
      <c r="AJ83" s="50" t="s">
        <v>47</v>
      </c>
      <c r="AK83" s="474" t="s">
        <v>58</v>
      </c>
      <c r="AL83" s="475"/>
      <c r="AM83" s="85" t="s">
        <v>46</v>
      </c>
      <c r="AN83" s="50" t="s">
        <v>47</v>
      </c>
      <c r="AO83" s="474" t="s">
        <v>58</v>
      </c>
      <c r="AP83" s="475"/>
      <c r="AQ83" s="85" t="s">
        <v>46</v>
      </c>
      <c r="AR83" s="50" t="s">
        <v>47</v>
      </c>
      <c r="AS83" s="474" t="s">
        <v>58</v>
      </c>
      <c r="AT83" s="475"/>
      <c r="AU83" s="85" t="s">
        <v>46</v>
      </c>
      <c r="AV83" s="50" t="s">
        <v>47</v>
      </c>
      <c r="AW83" s="474" t="s">
        <v>58</v>
      </c>
      <c r="AX83" s="475"/>
      <c r="AY83" s="85" t="s">
        <v>46</v>
      </c>
      <c r="AZ83" s="50" t="s">
        <v>47</v>
      </c>
      <c r="BA83" s="474" t="s">
        <v>58</v>
      </c>
      <c r="BB83" s="475"/>
      <c r="BC83" s="85" t="s">
        <v>46</v>
      </c>
      <c r="BD83" s="50" t="s">
        <v>47</v>
      </c>
      <c r="BE83" s="474" t="s">
        <v>58</v>
      </c>
      <c r="BF83" s="475"/>
      <c r="BG83" s="85" t="s">
        <v>46</v>
      </c>
      <c r="BH83" s="50" t="s">
        <v>47</v>
      </c>
      <c r="BI83" s="474" t="s">
        <v>58</v>
      </c>
      <c r="BJ83" s="475"/>
      <c r="BK83" s="97"/>
      <c r="BP83" s="85">
        <f>IF(COUNTIF(BP82:BS82,"Error")&gt;0,"Error","")</f>
      </c>
      <c r="BQ83" s="67">
        <f>COUNT(E85:H85)</f>
        <v>0</v>
      </c>
      <c r="BR83" s="446">
        <f>IF(COUNTIF(BP82,"incorrect")&gt;0,"ให้ใส่เป้าหมายและผลที่ดำเนินการได้ก่อน",IF(COUNTIF(BP82:BS82,"space")&gt;0,"ให้ใส่เลขข้อโดยไม่ข้ามช่องว่าง",IF(COUNTIF(BP82:BS82,"ascending")&gt;0,"ให้เรียงเลขข้อจากน้อยไปมาก",IF(COUNTIF(BQ82:BS82,"ใส่เลขข้อซ้ำ")&gt;0,"ใส่เลขข้อซ้ำ",""))))</f>
      </c>
      <c r="BS83" s="446"/>
    </row>
    <row r="84" spans="1:63" ht="22.5" customHeight="1">
      <c r="A84" s="440" t="s">
        <v>78</v>
      </c>
      <c r="B84" s="326" t="str">
        <f>IF(C85="","",IF(OR(C85=1,C85=2,C85=3,C85=4),"ดำเนินการ",IF(C85=5,"ดำเนินการครบ","Error")))</f>
        <v>ดำเนินการ</v>
      </c>
      <c r="C84" s="327"/>
      <c r="D84" s="328"/>
      <c r="E84" s="329" t="str">
        <f>IF(J84="","",IF(OR(J84=0,J84=1,J84=2,J84=3,J84=4),"มีการดำเนินการ",IF(J84=5,"มีการดำเนินการครบ","Error")))</f>
        <v>มีการดำเนินการครบ</v>
      </c>
      <c r="F84" s="330"/>
      <c r="G84" s="330"/>
      <c r="H84" s="330"/>
      <c r="I84" s="330"/>
      <c r="J84" s="116">
        <v>5</v>
      </c>
      <c r="K84" s="331" t="str">
        <f>IF(J84="","",IF(OR(J84=1,J84=2,J84=3,J84=4),"ข้อ ได้แก่ข้อที่",IF(OR(J84=0,J84=5),"ข้อ","ใส่เลขผิด")))</f>
        <v>ข้อ</v>
      </c>
      <c r="L84" s="331"/>
      <c r="M84" s="332"/>
      <c r="N84" s="358">
        <f>IF(AND(C85="",J84="",E86=""),"",IF(OR(E86&lt;&gt;"",B84="Error"),"Error",IF(AND(OR(C85=1,C85=2,C85=3,C85=4,C85=5),OR(J84=0,J84=1,J84=2,J84=3,J84=4,J84=5)),LOOKUP(J84,{0,1,2,3,4,5},{0,1,2,3,4,5}),"Error")))</f>
        <v>5</v>
      </c>
      <c r="O84" s="424"/>
      <c r="P84" s="400" t="str">
        <f>IF(OR(C85="",B84="Error",E84="Error",E86&lt;&gt;""),"",IF(C85&lt;=J84,"ü","û"))</f>
        <v>ü</v>
      </c>
      <c r="Q84" s="401"/>
      <c r="R84" s="402"/>
      <c r="S84" s="287"/>
      <c r="T84" s="290">
        <f>IF(AND(C85="",J84&lt;&gt;""),"ต้องใส่จำนวนข้อเป้าหมาย",IF(AND(OR(C85="",C85=1,C85=2,C85=3,C85=4,C85=5),OR(J84="",J84=0,J84=1,J84=2,J84=3,J84=4,J84=5)),"",IF(AND(C85="",J84=""),"","ใส่เลขผิด")))</f>
      </c>
      <c r="U84" s="40" t="s">
        <v>48</v>
      </c>
      <c r="V84" s="39">
        <v>60000</v>
      </c>
      <c r="W84" s="52"/>
      <c r="X84" s="52"/>
      <c r="Y84" s="46"/>
      <c r="Z84" s="61">
        <f>IF(Y84="","",IF(AND(W84="",X84=""),"",IF(OR(W84&lt;0,X84&lt;0),"Error",IF(ROUND(((Y84/(W84+X84))*5/$V84),2)&gt;5,5,IF(ROUND(((Y84/(W84+X84))*5/$V84),2)&lt;0,"Error",ROUND(((Y84/(W84+X84))*5/$V84),2))))))</f>
      </c>
      <c r="AA84" s="52"/>
      <c r="AB84" s="52"/>
      <c r="AC84" s="46"/>
      <c r="AD84" s="61">
        <f>IF(AC84="","",IF(AND(AA84="",AB84=""),"",IF(OR(AA84&lt;0,AB84&lt;0),"Error",IF(ROUND(((AC84/(AA84+AB84))*5/$V84),2)&gt;5,5,IF(ROUND(((AC84/(AA84+AB84))*5/$V84),2)&lt;0,"Error",ROUND(((AC84/(AA84+AB84))*5/$V84),2))))))</f>
      </c>
      <c r="AE84" s="52"/>
      <c r="AF84" s="52"/>
      <c r="AG84" s="46"/>
      <c r="AH84" s="61">
        <f>IF(AG84="","",IF(AND(AE84="",AF84=""),"",IF(OR(AE84&lt;0,AF84&lt;0),"Error",IF(ROUND(((AG84/(AE84+AF84))*5/$V84),2)&gt;5,5,IF(ROUND(((AG84/(AE84+AF84))*5/$V84),2)&lt;0,"Error",ROUND(((AG84/(AE84+AF84))*5/$V84),2))))))</f>
      </c>
      <c r="AI84" s="52"/>
      <c r="AJ84" s="52"/>
      <c r="AK84" s="46"/>
      <c r="AL84" s="61">
        <f>IF(AK84="","",IF(AND(AI84="",AJ84=""),"",IF(OR(AI84&lt;0,AJ84&lt;0),"Error",IF(ROUND(((AK84/(AI84+AJ84))*5/$V84),2)&gt;5,5,IF(ROUND(((AK84/(AI84+AJ84))*5/$V84),2)&lt;0,"Error",ROUND(((AK84/(AI84+AJ84))*5/$V84),2))))))</f>
      </c>
      <c r="AM84" s="52"/>
      <c r="AN84" s="52"/>
      <c r="AO84" s="46"/>
      <c r="AP84" s="61">
        <f>IF(AO84="","",IF(AND(AM84="",AN84=""),"",IF(OR(AM84&lt;0,AN84&lt;0),"Error",IF(ROUND(((AO84/(AM84+AN84))*5/$V84),2)&gt;5,5,IF(ROUND(((AO84/(AM84+AN84))*5/$V84),2)&lt;0,"Error",ROUND(((AO84/(AM84+AN84))*5/$V84),2))))))</f>
      </c>
      <c r="AQ84" s="52"/>
      <c r="AR84" s="52"/>
      <c r="AS84" s="46"/>
      <c r="AT84" s="61">
        <f>IF(AS84="","",IF(AND(AQ84="",AR84=""),"",IF(OR(AQ84&lt;0,AR84&lt;0),"Error",IF(ROUND(((AS84/(AQ84+AR84))*5/$V84),2)&gt;5,5,IF(ROUND(((AS84/(AQ84+AR84))*5/$V84),2)&lt;0,"Error",ROUND(((AS84/(AQ84+AR84))*5/$V84),2))))))</f>
      </c>
      <c r="AU84" s="52"/>
      <c r="AV84" s="52"/>
      <c r="AW84" s="46"/>
      <c r="AX84" s="61">
        <f>IF(AW84="","",IF(AND(AU84="",AV84=""),"",IF(OR(AU84&lt;0,AV84&lt;0),"Error",IF(ROUND(((AW84/(AU84+AV84))*5/$V84),2)&gt;5,5,IF(ROUND(((AW84/(AU84+AV84))*5/$V84),2)&lt;0,"Error",ROUND(((AW84/(AU84+AV84))*5/$V84),2))))))</f>
      </c>
      <c r="AY84" s="52"/>
      <c r="AZ84" s="52"/>
      <c r="BA84" s="46"/>
      <c r="BB84" s="61">
        <f>IF(BA84="","",IF(AND(AY84="",AZ84=""),"",IF(OR(AY84&lt;0,AZ84&lt;0),"Error",IF(ROUND(((BA84/(AY84+AZ84))*5/$V84),2)&gt;5,5,IF(ROUND(((BA84/(AY84+AZ84))*5/$V84),2)&lt;0,"Error",ROUND(((BA84/(AY84+AZ84))*5/$V84),2))))))</f>
      </c>
      <c r="BC84" s="52"/>
      <c r="BD84" s="52"/>
      <c r="BE84" s="46"/>
      <c r="BF84" s="61">
        <f>IF(BE84="","",IF(AND(BC84="",BD84=""),"",IF(OR(BC84&lt;0,BD84&lt;0),"Error",IF(ROUND(((BE84/(BC84+BD84))*5/$V84),2)&gt;5,5,IF(ROUND(((BE84/(BC84+BD84))*5/$V84),2)&lt;0,"Error",ROUND(((BE84/(BC84+BD84))*5/$V84),2))))))</f>
      </c>
      <c r="BG84" s="52"/>
      <c r="BH84" s="52"/>
      <c r="BI84" s="46"/>
      <c r="BJ84" s="61">
        <f>IF(BI84="","",IF(AND(BG84="",BH84=""),"",IF(OR(BG84&lt;0,BH84&lt;0),"Error",IF(ROUND(((BI84/(BG84+BH84))*5/$V84),2)&gt;5,5,IF(ROUND(((BI84/(BG84+BH84))*5/$V84),2)&lt;0,"Error",ROUND(((BI84/(BG84+BH84))*5/$V84),2))))))</f>
      </c>
      <c r="BK84" s="97"/>
    </row>
    <row r="85" spans="1:71" ht="22.5" customHeight="1">
      <c r="A85" s="455"/>
      <c r="B85" s="81"/>
      <c r="C85" s="146">
        <v>3</v>
      </c>
      <c r="D85" s="74" t="str">
        <f>IF(C85="","",IF(OR(C85=1,C85=2,C85=3,C85=4,C85=5),"ข้อ",""))</f>
        <v>ข้อ</v>
      </c>
      <c r="E85" s="114"/>
      <c r="F85" s="115"/>
      <c r="G85" s="115"/>
      <c r="H85" s="115"/>
      <c r="I85" s="363"/>
      <c r="J85" s="363"/>
      <c r="K85" s="363"/>
      <c r="L85" s="363"/>
      <c r="M85" s="364"/>
      <c r="N85" s="359"/>
      <c r="O85" s="425"/>
      <c r="P85" s="403"/>
      <c r="Q85" s="404"/>
      <c r="R85" s="405"/>
      <c r="S85" s="345"/>
      <c r="T85" s="291"/>
      <c r="U85" s="41" t="s">
        <v>49</v>
      </c>
      <c r="V85" s="38">
        <v>50000</v>
      </c>
      <c r="W85" s="53"/>
      <c r="X85" s="53"/>
      <c r="Y85" s="47"/>
      <c r="Z85" s="62">
        <f>IF(Y85="","",IF(AND(W85="",X85=""),"",IF(OR(W85&lt;0,X85&lt;0),"Error",IF(ROUND(((Y85/(W85+X85))*5/$V85),2)&gt;5,5,IF(ROUND(((Y85/(W85+X85))*5/$V85),2)&lt;0,"Error",ROUND(((Y85/(W85+X85))*5/$V85),2))))))</f>
      </c>
      <c r="AA85" s="53"/>
      <c r="AB85" s="53"/>
      <c r="AC85" s="47"/>
      <c r="AD85" s="62">
        <f>IF(AC85="","",IF(AND(AA85="",AB85=""),"",IF(OR(AA85&lt;0,AB85&lt;0),"Error",IF(ROUND(((AC85/(AA85+AB85))*5/$V85),2)&gt;5,5,IF(ROUND(((AC85/(AA85+AB85))*5/$V85),2)&lt;0,"Error",ROUND(((AC85/(AA85+AB85))*5/$V85),2))))))</f>
      </c>
      <c r="AE85" s="53"/>
      <c r="AF85" s="53"/>
      <c r="AG85" s="47"/>
      <c r="AH85" s="62">
        <f>IF(AG85="","",IF(AND(AE85="",AF85=""),"",IF(OR(AE85&lt;0,AF85&lt;0),"Error",IF(ROUND(((AG85/(AE85+AF85))*5/$V85),2)&gt;5,5,IF(ROUND(((AG85/(AE85+AF85))*5/$V85),2)&lt;0,"Error",ROUND(((AG85/(AE85+AF85))*5/$V85),2))))))</f>
      </c>
      <c r="AI85" s="53"/>
      <c r="AJ85" s="53"/>
      <c r="AK85" s="47"/>
      <c r="AL85" s="62">
        <f>IF(AK85="","",IF(AND(AI85="",AJ85=""),"",IF(OR(AI85&lt;0,AJ85&lt;0),"Error",IF(ROUND(((AK85/(AI85+AJ85))*5/$V85),2)&gt;5,5,IF(ROUND(((AK85/(AI85+AJ85))*5/$V85),2)&lt;0,"Error",ROUND(((AK85/(AI85+AJ85))*5/$V85),2))))))</f>
      </c>
      <c r="AM85" s="53"/>
      <c r="AN85" s="53"/>
      <c r="AO85" s="47"/>
      <c r="AP85" s="62">
        <f>IF(AO85="","",IF(AND(AM85="",AN85=""),"",IF(OR(AM85&lt;0,AN85&lt;0),"Error",IF(ROUND(((AO85/(AM85+AN85))*5/$V85),2)&gt;5,5,IF(ROUND(((AO85/(AM85+AN85))*5/$V85),2)&lt;0,"Error",ROUND(((AO85/(AM85+AN85))*5/$V85),2))))))</f>
      </c>
      <c r="AQ85" s="53"/>
      <c r="AR85" s="53"/>
      <c r="AS85" s="47"/>
      <c r="AT85" s="62">
        <f>IF(AS85="","",IF(AND(AQ85="",AR85=""),"",IF(OR(AQ85&lt;0,AR85&lt;0),"Error",IF(ROUND(((AS85/(AQ85+AR85))*5/$V85),2)&gt;5,5,IF(ROUND(((AS85/(AQ85+AR85))*5/$V85),2)&lt;0,"Error",ROUND(((AS85/(AQ85+AR85))*5/$V85),2))))))</f>
      </c>
      <c r="AU85" s="53"/>
      <c r="AV85" s="53"/>
      <c r="AW85" s="47"/>
      <c r="AX85" s="62">
        <f>IF(AW85="","",IF(AND(AU85="",AV85=""),"",IF(OR(AU85&lt;0,AV85&lt;0),"Error",IF(ROUND(((AW85/(AU85+AV85))*5/$V85),2)&gt;5,5,IF(ROUND(((AW85/(AU85+AV85))*5/$V85),2)&lt;0,"Error",ROUND(((AW85/(AU85+AV85))*5/$V85),2))))))</f>
      </c>
      <c r="AY85" s="53"/>
      <c r="AZ85" s="53"/>
      <c r="BA85" s="47"/>
      <c r="BB85" s="62">
        <f>IF(BA85="","",IF(AND(AY85="",AZ85=""),"",IF(OR(AY85&lt;0,AZ85&lt;0),"Error",IF(ROUND(((BA85/(AY85+AZ85))*5/$V85),2)&gt;5,5,IF(ROUND(((BA85/(AY85+AZ85))*5/$V85),2)&lt;0,"Error",ROUND(((BA85/(AY85+AZ85))*5/$V85),2))))))</f>
      </c>
      <c r="BC85" s="53"/>
      <c r="BD85" s="53"/>
      <c r="BE85" s="47"/>
      <c r="BF85" s="62">
        <f>IF(BE85="","",IF(AND(BC85="",BD85=""),"",IF(OR(BC85&lt;0,BD85&lt;0),"Error",IF(ROUND(((BE85/(BC85+BD85))*5/$V85),2)&gt;5,5,IF(ROUND(((BE85/(BC85+BD85))*5/$V85),2)&lt;0,"Error",ROUND(((BE85/(BC85+BD85))*5/$V85),2))))))</f>
      </c>
      <c r="BG85" s="53"/>
      <c r="BH85" s="53"/>
      <c r="BI85" s="47"/>
      <c r="BJ85" s="62">
        <f>IF(BI85="","",IF(AND(BG85="",BH85=""),"",IF(OR(BG85&lt;0,BH85&lt;0),"Error",IF(ROUND(((BI85/(BG85+BH85))*5/$V85),2)&gt;5,5,IF(ROUND(((BI85/(BG85+BH85))*5/$V85),2)&lt;0,"Error",ROUND(((BI85/(BG85+BH85))*5/$V85),2))))))</f>
      </c>
      <c r="BK85" s="97"/>
      <c r="BP85" s="65">
        <f>IF(AND(E88="",F88="",G88="",H88="",I88=""),"",IF(AND(C88="",J87="",E88&lt;&gt;""),"incorrect",IF(AND(E88="",F88&lt;&gt;""),"space",IF(AND(F88&lt;&gt;"",E88&gt;F88),"ascending",IF(OR(E88="",E88=1,E88=2,E88=3,E88=4,E88=5,E88=6),"","Error")))))</f>
      </c>
      <c r="BQ85" s="65">
        <f>IF(AND(F88&lt;&gt;"",E88=F88),"ใส่เลขข้อซ้ำ",IF(AND(F88="",G88&lt;&gt;""),"space",IF(AND(G88&lt;&gt;"",F88&gt;G88),"ascending",IF(OR(F88="",F88=2,F88=3,F88=4,F88=5,F88=6),"","Error"))))</f>
      </c>
      <c r="BR85" s="65">
        <f>IF(AND(G88&lt;&gt;"",OR(E88=G88,F88=G88)),"ใส่เลขข้อซ้ำ",IF(AND(G88="",H88&lt;&gt;""),"space",IF(AND(H88&lt;&gt;"",G88&gt;H88),"ascending",IF(OR(G88="",G88=3,G88=4,G88=5,G88=6),"","Error"))))</f>
      </c>
      <c r="BS85" s="65">
        <f>IF(AND(H88&lt;&gt;"",OR(E88=H88,F88=H88,G88=H88)),"ใส่เลขข้อซ้ำ",IF(AND(H88="",I88&lt;&gt;""),"space",IF(AND(I88&lt;&gt;"",H88&gt;I88),"ascending",IF(OR(H88="",H88=4,H88=5,H88=6),"","Error"))))</f>
      </c>
    </row>
    <row r="86" spans="1:68" ht="45" customHeight="1">
      <c r="A86" s="456"/>
      <c r="B86" s="365"/>
      <c r="C86" s="366"/>
      <c r="D86" s="367"/>
      <c r="E86" s="341">
        <f>IF(OR(B84="Error",E84="Error"),"",IF(AND(C85&lt;&gt;"",J84=""),"ให้ใส่จำนวนข้อที่ดำเนินการได้ทั้งหมด",IF(AND(J84=5,E85="",F85="",G85="",H85=""),"",IF(AND(OR(J84=0,J84=5),OR(E85&lt;&gt;"",F85&lt;&gt;"",G85&lt;&gt;"",H85&lt;&gt;"")),"ไม่ต้องใส่เลขข้อที่ได้ดำเนินการ",IF(AND(J84&lt;5,J84&gt;0,C85&lt;&gt;"",E85="",F85="",G85="",H85=""),"ใส่เลขข้อที่ได้ดำเนินการ",IF(BR83&lt;&gt;"",BR83,IF(BP83="Error","ใส่เลขผิด",IF(J84&lt;&gt;BQ83,"จำนวนข้อที่ดำเนินการไม่เท่ากับข้อที่ระบุ",""))))))))</f>
      </c>
      <c r="F86" s="466"/>
      <c r="G86" s="466"/>
      <c r="H86" s="466"/>
      <c r="I86" s="466"/>
      <c r="J86" s="466"/>
      <c r="K86" s="466"/>
      <c r="L86" s="466"/>
      <c r="M86" s="467"/>
      <c r="N86" s="360"/>
      <c r="O86" s="426"/>
      <c r="P86" s="406"/>
      <c r="Q86" s="407"/>
      <c r="R86" s="408"/>
      <c r="S86" s="288"/>
      <c r="T86" s="292"/>
      <c r="U86" s="42" t="s">
        <v>50</v>
      </c>
      <c r="V86" s="37">
        <v>25000</v>
      </c>
      <c r="W86" s="54"/>
      <c r="X86" s="54"/>
      <c r="Y86" s="48"/>
      <c r="Z86" s="63">
        <f>IF(Y86="","",IF(AND(W86="",X86=""),"",IF(OR(W86&lt;0,X86&lt;0),"Error",IF(ROUND(((Y86/(W86+X86))*5/$V86),2)&gt;5,5,IF(ROUND(((Y86/(W86+X86))*5/$V86),2)&lt;0,"Error",ROUND(((Y86/(W86+X86))*5/$V86),2))))))</f>
      </c>
      <c r="AA86" s="54"/>
      <c r="AB86" s="54"/>
      <c r="AC86" s="48"/>
      <c r="AD86" s="63">
        <f>IF(AC86="","",IF(AND(AA86="",AB86=""),"",IF(OR(AA86&lt;0,AB86&lt;0),"Error",IF(ROUND(((AC86/(AA86+AB86))*5/$V86),2)&gt;5,5,IF(ROUND(((AC86/(AA86+AB86))*5/$V86),2)&lt;0,"Error",ROUND(((AC86/(AA86+AB86))*5/$V86),2))))))</f>
      </c>
      <c r="AE86" s="54"/>
      <c r="AF86" s="54"/>
      <c r="AG86" s="48"/>
      <c r="AH86" s="63">
        <f>IF(AG86="","",IF(AND(AE86="",AF86=""),"",IF(OR(AE86&lt;0,AF86&lt;0),"Error",IF(ROUND(((AG86/(AE86+AF86))*5/$V86),2)&gt;5,5,IF(ROUND(((AG86/(AE86+AF86))*5/$V86),2)&lt;0,"Error",ROUND(((AG86/(AE86+AF86))*5/$V86),2))))))</f>
      </c>
      <c r="AI86" s="54"/>
      <c r="AJ86" s="54"/>
      <c r="AK86" s="48"/>
      <c r="AL86" s="63">
        <f>IF(AK86="","",IF(AND(AI86="",AJ86=""),"",IF(OR(AI86&lt;0,AJ86&lt;0),"Error",IF(ROUND(((AK86/(AI86+AJ86))*5/$V86),2)&gt;5,5,IF(ROUND(((AK86/(AI86+AJ86))*5/$V86),2)&lt;0,"Error",ROUND(((AK86/(AI86+AJ86))*5/$V86),2))))))</f>
      </c>
      <c r="AM86" s="54"/>
      <c r="AN86" s="54"/>
      <c r="AO86" s="48"/>
      <c r="AP86" s="63">
        <f>IF(AO86="","",IF(AND(AM86="",AN86=""),"",IF(OR(AM86&lt;0,AN86&lt;0),"Error",IF(ROUND(((AO86/(AM86+AN86))*5/$V86),2)&gt;5,5,IF(ROUND(((AO86/(AM86+AN86))*5/$V86),2)&lt;0,"Error",ROUND(((AO86/(AM86+AN86))*5/$V86),2))))))</f>
      </c>
      <c r="AQ86" s="54"/>
      <c r="AR86" s="54"/>
      <c r="AS86" s="48"/>
      <c r="AT86" s="63">
        <f>IF(AS86="","",IF(AND(AQ86="",AR86=""),"",IF(OR(AQ86&lt;0,AR86&lt;0),"Error",IF(ROUND(((AS86/(AQ86+AR86))*5/$V86),2)&gt;5,5,IF(ROUND(((AS86/(AQ86+AR86))*5/$V86),2)&lt;0,"Error",ROUND(((AS86/(AQ86+AR86))*5/$V86),2))))))</f>
      </c>
      <c r="AU86" s="54"/>
      <c r="AV86" s="54"/>
      <c r="AW86" s="48"/>
      <c r="AX86" s="63">
        <f>IF(AW86="","",IF(AND(AU86="",AV86=""),"",IF(OR(AU86&lt;0,AV86&lt;0),"Error",IF(ROUND(((AW86/(AU86+AV86))*5/$V86),2)&gt;5,5,IF(ROUND(((AW86/(AU86+AV86))*5/$V86),2)&lt;0,"Error",ROUND(((AW86/(AU86+AV86))*5/$V86),2))))))</f>
      </c>
      <c r="AY86" s="54"/>
      <c r="AZ86" s="54"/>
      <c r="BA86" s="48"/>
      <c r="BB86" s="63">
        <f>IF(BA86="","",IF(AND(AY86="",AZ86=""),"",IF(OR(AY86&lt;0,AZ86&lt;0),"Error",IF(ROUND(((BA86/(AY86+AZ86))*5/$V86),2)&gt;5,5,IF(ROUND(((BA86/(AY86+AZ86))*5/$V86),2)&lt;0,"Error",ROUND(((BA86/(AY86+AZ86))*5/$V86),2))))))</f>
      </c>
      <c r="BC86" s="54"/>
      <c r="BD86" s="54"/>
      <c r="BE86" s="48"/>
      <c r="BF86" s="63">
        <f>IF(BE86="","",IF(AND(BC86="",BD86=""),"",IF(OR(BC86&lt;0,BD86&lt;0),"Error",IF(ROUND(((BE86/(BC86+BD86))*5/$V86),2)&gt;5,5,IF(ROUND(((BE86/(BC86+BD86))*5/$V86),2)&lt;0,"Error",ROUND(((BE86/(BC86+BD86))*5/$V86),2))))))</f>
      </c>
      <c r="BG86" s="54"/>
      <c r="BH86" s="54"/>
      <c r="BI86" s="48"/>
      <c r="BJ86" s="63">
        <f>IF(BI86="","",IF(AND(BG86="",BH86=""),"",IF(OR(BG86&lt;0,BH86&lt;0),"Error",IF(ROUND(((BI86/(BG86+BH86))*5/$V86),2)&gt;5,5,IF(ROUND(((BI86/(BG86+BH86))*5/$V86),2)&lt;0,"Error",ROUND(((BI86/(BG86+BH86))*5/$V86),2))))))</f>
      </c>
      <c r="BK86" s="97"/>
      <c r="BL86" s="55">
        <f>IF(OR(W87="Error",AA87="Error",AE87="Error",AI87="Error",AM87="Error",AQ87="Error",AU87="Error",AY87="Error",BC87="Error",BG87="Error"),"Error",IF(COUNT(W87,AA87,AE87,AI87,AM87,AQ87,AU87,AY87,BC87,BG87)=0,"",SUM(W87,AA87,AE87,AI87,AM87,AQ87,AU87,AY87,BC87,BG87)))</f>
      </c>
      <c r="BM86" s="56">
        <f>IF(OR(X87="Error",AB87="Error",AF87="Error",AJ87="Error",AN87="Error",AR87="Error",AV87="Error",AZ87="Error",BD87="Error",BH87="Error"),"Error",IF(COUNT(X87,AB87,AF87,AJ87,AN87,AR87,AV87,AZ87,BD87,BH87)=0,"",SUM(X87,AB87,AF87,AJ87,AN87,AR87,AV87,AZ87,BD87,BH87)))</f>
      </c>
      <c r="BN86" s="57">
        <f>IF(COUNT(Z87,AD87,AH87,AL87,AP87,AT87,AX87,BB87,BF87,BJ87)=0,"",ROUND(AVERAGE(Z87,AD87,AH87,AL87,AP87,AT87,AX87,BB87,BF87,BJ87),2))</f>
      </c>
      <c r="BP86" s="65">
        <f>IF(AND(I88&lt;&gt;"",OR(E88=I88,F88=I88,G88=I88,H88=I88)),"ใส่เลขข้อซ้ำ",IF(OR(I88="",I88=5,I88=6),"","Error"))</f>
      </c>
    </row>
    <row r="87" spans="1:72" ht="22.5" customHeight="1">
      <c r="A87" s="440" t="s">
        <v>79</v>
      </c>
      <c r="B87" s="326" t="str">
        <f>IF(C88="","",IF(OR(C88=1,C88=2,C88=3,C88=4,C88=5),"ดำเนินการ",IF(C88=6,"ดำเนินการครบ","Error")))</f>
        <v>ดำเนินการ</v>
      </c>
      <c r="C87" s="327"/>
      <c r="D87" s="328"/>
      <c r="E87" s="329" t="str">
        <f>IF(J87="","",IF(OR(J87=0,J87=1,J87=2,J87=3,J87=4,J87=5),"มีการดำเนินการ",IF(J87=6,"มีการดำเนินการครบ","Error")))</f>
        <v>มีการดำเนินการครบ</v>
      </c>
      <c r="F87" s="330"/>
      <c r="G87" s="330"/>
      <c r="H87" s="330"/>
      <c r="I87" s="330"/>
      <c r="J87" s="116">
        <v>6</v>
      </c>
      <c r="K87" s="331" t="str">
        <f>IF(J87="","",IF(OR(J87=1,J87=2,J87=3,J87=4,J87=5),"ข้อ ได้แก่ข้อที่",IF(OR(J87=0,J87=6),"ข้อ","ใส่เลขผิด")))</f>
        <v>ข้อ</v>
      </c>
      <c r="L87" s="331"/>
      <c r="M87" s="332"/>
      <c r="N87" s="358">
        <f>IF(AND(C88="",J87="",E89=""),"",IF(OR(E89&lt;&gt;"",B87="Error"),"Error",IF(AND(OR(C88=1,C88=2,C88=3,C88=4,C88=5,C88=6),OR(J87=0,J87=1,J87=2,J87=3,J87=4,J87=5,J87=6)),LOOKUP(J87,{0,1,2,3,5,6},{0,1,2,3,4,5}),"Error")))</f>
        <v>5</v>
      </c>
      <c r="O87" s="424" t="s">
        <v>181</v>
      </c>
      <c r="P87" s="400" t="str">
        <f>IF(OR(C88="",B87="Error",E87="Error",E89&lt;&gt;""),"",IF(C88&lt;=J87,"ü","û"))</f>
        <v>ü</v>
      </c>
      <c r="Q87" s="401"/>
      <c r="R87" s="402"/>
      <c r="S87" s="287"/>
      <c r="T87" s="290">
        <f>IF(AND(C88="",J87&lt;&gt;""),"ต้องใส่จำนวนข้อเป้าหมาย",IF(AND(OR(C88="",C88=1,C88=2,C88=3,C88=4,C88=5,C88=6),OR(J87="",J87=0,J87=1,J87=2,J87=3,J87=4,J87=5,J87=6)),"",IF(AND(C88="",J87=""),"","ใส่เลขผิด")))</f>
      </c>
      <c r="U87" s="516" t="s">
        <v>51</v>
      </c>
      <c r="V87" s="517"/>
      <c r="W87" s="59">
        <f>IF(AND(W84="",W85="",W86=""),"",IF(OR(W84&lt;0,W85&lt;0,W86&lt;0),"Error",SUM(W84:W86)))</f>
      </c>
      <c r="X87" s="60">
        <f>IF(AND(X84="",X85="",X86=""),"",IF(OR(X84&lt;0,X85&lt;0,X86&lt;0),"Error",SUM(X84:X86)))</f>
      </c>
      <c r="Y87" s="43">
        <f>IF(AND(Y84="",Y85="",Y86=""),"",ROUND(SUM(Y84:Y86),2))</f>
      </c>
      <c r="Z87" s="44">
        <f>IF(COUNT(Z84:Z86)=0,"",ROUND(AVERAGE(Z84:Z86),2))</f>
      </c>
      <c r="AA87" s="59">
        <f>IF(AND(AA84="",AA85="",AA86=""),"",IF(OR(AA84&lt;0,AA85&lt;0,AA86&lt;0),"Error",SUM(AA84:AA86)))</f>
      </c>
      <c r="AB87" s="60">
        <f>IF(AND(AB84="",AB85="",AB86=""),"",IF(OR(AB84&lt;0,AB85&lt;0,AB86&lt;0),"Error",SUM(AB84:AB86)))</f>
      </c>
      <c r="AC87" s="43">
        <f>IF(AND(AC84="",AC85="",AC86=""),"",ROUND(SUM(AC84:AC86),2))</f>
      </c>
      <c r="AD87" s="44">
        <f>IF(COUNT(AD84:AD86)=0,"",ROUND(AVERAGE(AD84:AD86),2))</f>
      </c>
      <c r="AE87" s="59">
        <f>IF(AND(AE84="",AE85="",AE86=""),"",IF(OR(AE84&lt;0,AE85&lt;0,AE86&lt;0),"Error",SUM(AE84:AE86)))</f>
      </c>
      <c r="AF87" s="60">
        <f>IF(AND(AF84="",AF85="",AF86=""),"",IF(OR(AF84&lt;0,AF85&lt;0,AF86&lt;0),"Error",SUM(AF84:AF86)))</f>
      </c>
      <c r="AG87" s="43">
        <f>IF(AND(AG84="",AG85="",AG86=""),"",ROUND(SUM(AG84:AG86),2))</f>
      </c>
      <c r="AH87" s="44">
        <f>IF(COUNT(AH84:AH86)=0,"",ROUND(AVERAGE(AH84:AH86),2))</f>
      </c>
      <c r="AI87" s="59">
        <f>IF(AND(AI84="",AI85="",AI86=""),"",IF(OR(AI84&lt;0,AI85&lt;0,AI86&lt;0),"Error",SUM(AI84:AI86)))</f>
      </c>
      <c r="AJ87" s="60">
        <f>IF(AND(AJ84="",AJ85="",AJ86=""),"",IF(OR(AJ84&lt;0,AJ85&lt;0,AJ86&lt;0),"Error",SUM(AJ84:AJ86)))</f>
      </c>
      <c r="AK87" s="43">
        <f>IF(AND(AK84="",AK85="",AK86=""),"",ROUND(SUM(AK84:AK86),2))</f>
      </c>
      <c r="AL87" s="44">
        <f>IF(COUNT(AL84:AL86)=0,"",ROUND(AVERAGE(AL84:AL86),2))</f>
      </c>
      <c r="AM87" s="59">
        <f>IF(AND(AM84="",AM85="",AM86=""),"",IF(OR(AM84&lt;0,AM85&lt;0,AM86&lt;0),"Error",SUM(AM84:AM86)))</f>
      </c>
      <c r="AN87" s="60">
        <f>IF(AND(AN84="",AN85="",AN86=""),"",IF(OR(AN84&lt;0,AN85&lt;0,AN86&lt;0),"Error",SUM(AN84:AN86)))</f>
      </c>
      <c r="AO87" s="43">
        <f>IF(AND(AO84="",AO85="",AO86=""),"",ROUND(SUM(AO84:AO86),2))</f>
      </c>
      <c r="AP87" s="44">
        <f>IF(COUNT(AP84:AP86)=0,"",ROUND(AVERAGE(AP84:AP86),2))</f>
      </c>
      <c r="AQ87" s="59">
        <f>IF(AND(AQ84="",AQ85="",AQ86=""),"",IF(OR(AQ84&lt;0,AQ85&lt;0,AQ86&lt;0),"Error",SUM(AQ84:AQ86)))</f>
      </c>
      <c r="AR87" s="60">
        <f>IF(AND(AR84="",AR85="",AR86=""),"",IF(OR(AR84&lt;0,AR85&lt;0,AR86&lt;0),"Error",SUM(AR84:AR86)))</f>
      </c>
      <c r="AS87" s="43">
        <f>IF(AND(AS84="",AS85="",AS86=""),"",ROUND(SUM(AS84:AS86),2))</f>
      </c>
      <c r="AT87" s="44">
        <f>IF(COUNT(AT84:AT86)=0,"",ROUND(AVERAGE(AT84:AT86),2))</f>
      </c>
      <c r="AU87" s="59">
        <f>IF(AND(AU84="",AU85="",AU86=""),"",IF(OR(AU84&lt;0,AU85&lt;0,AU86&lt;0),"Error",SUM(AU84:AU86)))</f>
      </c>
      <c r="AV87" s="60">
        <f>IF(AND(AV84="",AV85="",AV86=""),"",IF(OR(AV84&lt;0,AV85&lt;0,AV86&lt;0),"Error",SUM(AV84:AV86)))</f>
      </c>
      <c r="AW87" s="43">
        <f>IF(AND(AW84="",AW85="",AW86=""),"",ROUND(SUM(AW84:AW86),2))</f>
      </c>
      <c r="AX87" s="44">
        <f>IF(COUNT(AX84:AX86)=0,"",ROUND(AVERAGE(AX84:AX86),2))</f>
      </c>
      <c r="AY87" s="59">
        <f>IF(AND(AY84="",AY85="",AY86=""),"",IF(OR(AY84&lt;0,AY85&lt;0,AY86&lt;0),"Error",SUM(AY84:AY86)))</f>
      </c>
      <c r="AZ87" s="60">
        <f>IF(AND(AZ84="",AZ85="",AZ86=""),"",IF(OR(AZ84&lt;0,AZ85&lt;0,AZ86&lt;0),"Error",SUM(AZ84:AZ86)))</f>
      </c>
      <c r="BA87" s="43">
        <f>IF(AND(BA84="",BA85="",BA86=""),"",ROUND(SUM(BA84:BA86),2))</f>
      </c>
      <c r="BB87" s="44">
        <f>IF(COUNT(BB84:BB86)=0,"",ROUND(AVERAGE(BB84:BB86),2))</f>
      </c>
      <c r="BC87" s="59">
        <f>IF(AND(BC84="",BC85="",BC86=""),"",IF(OR(BC84&lt;0,BC85&lt;0,BC86&lt;0),"Error",SUM(BC84:BC86)))</f>
      </c>
      <c r="BD87" s="60">
        <f>IF(AND(BD84="",BD85="",BD86=""),"",IF(OR(BD84&lt;0,BD85&lt;0,BD86&lt;0),"Error",SUM(BD84:BD86)))</f>
      </c>
      <c r="BE87" s="43">
        <f>IF(AND(BE84="",BE85="",BE86=""),"",ROUND(SUM(BE84:BE86),2))</f>
      </c>
      <c r="BF87" s="44">
        <f>IF(COUNT(BF84:BF86)=0,"",ROUND(AVERAGE(BF84:BF86),2))</f>
      </c>
      <c r="BG87" s="59">
        <f>IF(AND(BG84="",BG85="",BG86=""),"",IF(OR(BG84&lt;0,BG85&lt;0,BG86&lt;0),"Error",SUM(BG84:BG86)))</f>
      </c>
      <c r="BH87" s="60">
        <f>IF(AND(BH84="",BH85="",BH86=""),"",IF(OR(BH84&lt;0,BH85&lt;0,BH86&lt;0),"Error",SUM(BH84:BH86)))</f>
      </c>
      <c r="BI87" s="43">
        <f>IF(AND(BI84="",BI85="",BI86=""),"",ROUND(SUM(BI84:BI86),2))</f>
      </c>
      <c r="BJ87" s="44">
        <f>IF(COUNT(BJ84:BJ86)=0,"",ROUND(AVERAGE(BJ84:BJ86),2))</f>
      </c>
      <c r="BK87" s="97"/>
      <c r="BL87" s="510">
        <f>IF(COUNT(Y87,AC87,AG87,AK87,AO87,AS87,AW87,BA87,BE87,BI87)=0,"",IF(OR(Y87&lt;1,AC87&lt;1,AG87&lt;1,AK87&lt;1,AO87&lt;1,AS87&lt;1,AW87&lt;1,BA87&lt;1,BE87&lt;1,BI87&lt;1),"Error",SUM(Y87,AC87,AG87,AK87,AO87,AS87,AW87,BA87,BE87,BI87)))</f>
      </c>
      <c r="BM87" s="510"/>
      <c r="BN87" s="510"/>
      <c r="BP87" s="85">
        <f>IF(COUNTIF(BP85:BS85:BP86,"Error")&gt;0,"Error","")</f>
      </c>
      <c r="BQ87" s="67">
        <f>COUNT(E88:I88)</f>
        <v>0</v>
      </c>
      <c r="BR87" s="552">
        <f>IF(COUNTIF(BP85,"incorrect")&gt;0,"ให้ใส่เป้าหมายและผลที่ดำเนินการได้ก่อน",IF(COUNTIF(BP85:BS85:BP86,"space")&gt;0,"ให้ใส่เลขข้อโดยไม่ข้ามช่องว่าง",IF(COUNTIF(BP85:BS85:BP86,"ascending")&gt;0,"ให้เรียงเลขข้อจากน้อยไปมาก",IF(COUNTIF(BQ85:BS85:BP86,"ใส่เลขข้อซ้ำ")&gt;0,"ใส่เลขข้อซ้ำ",""))))</f>
      </c>
      <c r="BS87" s="553"/>
      <c r="BT87" s="554"/>
    </row>
    <row r="88" spans="1:63" ht="22.5" customHeight="1">
      <c r="A88" s="455"/>
      <c r="B88" s="95"/>
      <c r="C88" s="146">
        <v>3</v>
      </c>
      <c r="D88" s="74" t="str">
        <f>IF(C88="","",IF(OR(C88=1,C88=2,C88=3,C88=4,C88=5,C88=6),"ข้อ",""))</f>
        <v>ข้อ</v>
      </c>
      <c r="E88" s="114"/>
      <c r="F88" s="115"/>
      <c r="G88" s="115"/>
      <c r="H88" s="115"/>
      <c r="I88" s="115"/>
      <c r="J88" s="438"/>
      <c r="K88" s="438"/>
      <c r="L88" s="438"/>
      <c r="M88" s="439"/>
      <c r="N88" s="359"/>
      <c r="O88" s="425"/>
      <c r="P88" s="403"/>
      <c r="Q88" s="404"/>
      <c r="R88" s="405"/>
      <c r="S88" s="345"/>
      <c r="T88" s="291"/>
      <c r="BK88" s="98"/>
    </row>
    <row r="89" spans="1:62" ht="22.5" customHeight="1">
      <c r="A89" s="456"/>
      <c r="B89" s="365"/>
      <c r="C89" s="366"/>
      <c r="D89" s="367"/>
      <c r="E89" s="341">
        <f>IF(OR(B87="Error",E87="Error"),"",IF(AND(C88&lt;&gt;"",J87=""),"ให้ใส่จำนวนข้อที่ดำเนินการได้ทั้งหมด",IF(AND(J87=6,E88="",F88="",G88="",H88="",I88=""),"",IF(AND(OR(J87=0,J87=6),OR(E88&lt;&gt;"",F88&lt;&gt;"",G88&lt;&gt;"",H88&lt;&gt;"",I88&lt;&gt;"")),"ไม่ต้องใส่เลขข้อที่ได้ดำเนินการ",IF(AND(J87&lt;6,J87&gt;0,C88&lt;&gt;"",E88="",F88="",G88="",H88="",I88=""),"ใส่เลขข้อที่ได้ดำเนินการ",IF(BR87&lt;&gt;"",BR87,IF(BP87="Error","ใส่เลขผิด",IF(J87&lt;&gt;BQ87,"จำนวนข้อที่ดำเนินการไม่เท่ากับข้อที่ระบุ",""))))))))</f>
      </c>
      <c r="F89" s="466"/>
      <c r="G89" s="466"/>
      <c r="H89" s="466"/>
      <c r="I89" s="466"/>
      <c r="J89" s="466"/>
      <c r="K89" s="466"/>
      <c r="L89" s="466"/>
      <c r="M89" s="467"/>
      <c r="N89" s="360"/>
      <c r="O89" s="426"/>
      <c r="P89" s="406"/>
      <c r="Q89" s="407"/>
      <c r="R89" s="408"/>
      <c r="S89" s="288"/>
      <c r="T89" s="292"/>
      <c r="U89" s="68" t="s">
        <v>57</v>
      </c>
      <c r="V89" s="69"/>
      <c r="W89" s="480">
        <v>51</v>
      </c>
      <c r="X89" s="481"/>
      <c r="Y89" s="481"/>
      <c r="Z89" s="482"/>
      <c r="AA89" s="480">
        <v>52</v>
      </c>
      <c r="AB89" s="481"/>
      <c r="AC89" s="481"/>
      <c r="AD89" s="482"/>
      <c r="AE89" s="480">
        <v>53</v>
      </c>
      <c r="AF89" s="481"/>
      <c r="AG89" s="481"/>
      <c r="AH89" s="482"/>
      <c r="AI89" s="480">
        <v>54</v>
      </c>
      <c r="AJ89" s="481"/>
      <c r="AK89" s="481"/>
      <c r="AL89" s="482"/>
      <c r="AM89" s="480">
        <v>55</v>
      </c>
      <c r="AN89" s="481"/>
      <c r="AO89" s="481"/>
      <c r="AP89" s="482"/>
      <c r="AQ89" s="480">
        <v>56</v>
      </c>
      <c r="AR89" s="481"/>
      <c r="AS89" s="481"/>
      <c r="AT89" s="482"/>
      <c r="AU89" s="480">
        <v>57</v>
      </c>
      <c r="AV89" s="481"/>
      <c r="AW89" s="481"/>
      <c r="AX89" s="482"/>
      <c r="AY89" s="480">
        <v>58</v>
      </c>
      <c r="AZ89" s="481"/>
      <c r="BA89" s="481"/>
      <c r="BB89" s="482"/>
      <c r="BC89" s="480">
        <v>59</v>
      </c>
      <c r="BD89" s="481"/>
      <c r="BE89" s="481"/>
      <c r="BF89" s="482"/>
      <c r="BG89" s="480">
        <v>60</v>
      </c>
      <c r="BH89" s="481"/>
      <c r="BI89" s="481"/>
      <c r="BJ89" s="482"/>
    </row>
    <row r="90" spans="1:71" ht="22.5" customHeight="1">
      <c r="A90" s="131" t="s">
        <v>147</v>
      </c>
      <c r="B90" s="518">
        <v>3.51</v>
      </c>
      <c r="C90" s="519"/>
      <c r="D90" s="520"/>
      <c r="E90" s="521"/>
      <c r="F90" s="522"/>
      <c r="G90" s="522"/>
      <c r="H90" s="522"/>
      <c r="I90" s="522"/>
      <c r="J90" s="522"/>
      <c r="K90" s="522"/>
      <c r="L90" s="522"/>
      <c r="M90" s="523"/>
      <c r="N90" s="150"/>
      <c r="O90" s="163"/>
      <c r="P90" s="513"/>
      <c r="Q90" s="514"/>
      <c r="R90" s="515"/>
      <c r="S90" s="150"/>
      <c r="T90" s="108"/>
      <c r="U90" s="110"/>
      <c r="V90" s="49"/>
      <c r="W90" s="85" t="s">
        <v>46</v>
      </c>
      <c r="X90" s="50" t="s">
        <v>47</v>
      </c>
      <c r="Y90" s="474" t="s">
        <v>58</v>
      </c>
      <c r="Z90" s="475"/>
      <c r="AA90" s="85" t="s">
        <v>46</v>
      </c>
      <c r="AB90" s="50" t="s">
        <v>47</v>
      </c>
      <c r="AC90" s="474" t="s">
        <v>58</v>
      </c>
      <c r="AD90" s="475"/>
      <c r="AE90" s="85" t="s">
        <v>46</v>
      </c>
      <c r="AF90" s="50" t="s">
        <v>47</v>
      </c>
      <c r="AG90" s="474" t="s">
        <v>58</v>
      </c>
      <c r="AH90" s="475"/>
      <c r="AI90" s="85" t="s">
        <v>46</v>
      </c>
      <c r="AJ90" s="50" t="s">
        <v>47</v>
      </c>
      <c r="AK90" s="474" t="s">
        <v>58</v>
      </c>
      <c r="AL90" s="475"/>
      <c r="AM90" s="85" t="s">
        <v>46</v>
      </c>
      <c r="AN90" s="50" t="s">
        <v>47</v>
      </c>
      <c r="AO90" s="474" t="s">
        <v>58</v>
      </c>
      <c r="AP90" s="475"/>
      <c r="AQ90" s="85" t="s">
        <v>46</v>
      </c>
      <c r="AR90" s="50" t="s">
        <v>47</v>
      </c>
      <c r="AS90" s="474" t="s">
        <v>58</v>
      </c>
      <c r="AT90" s="475"/>
      <c r="AU90" s="85" t="s">
        <v>46</v>
      </c>
      <c r="AV90" s="50" t="s">
        <v>47</v>
      </c>
      <c r="AW90" s="474" t="s">
        <v>58</v>
      </c>
      <c r="AX90" s="475"/>
      <c r="AY90" s="85" t="s">
        <v>46</v>
      </c>
      <c r="AZ90" s="50" t="s">
        <v>47</v>
      </c>
      <c r="BA90" s="474" t="s">
        <v>58</v>
      </c>
      <c r="BB90" s="475"/>
      <c r="BC90" s="85" t="s">
        <v>46</v>
      </c>
      <c r="BD90" s="50" t="s">
        <v>47</v>
      </c>
      <c r="BE90" s="474" t="s">
        <v>58</v>
      </c>
      <c r="BF90" s="475"/>
      <c r="BG90" s="85" t="s">
        <v>46</v>
      </c>
      <c r="BH90" s="50" t="s">
        <v>47</v>
      </c>
      <c r="BI90" s="474" t="s">
        <v>58</v>
      </c>
      <c r="BJ90" s="475"/>
      <c r="BK90" s="104"/>
      <c r="BP90" s="65">
        <f>IF(AND(E93="",F93="",G93="",H93="",I93="",J93=""),"",IF(AND(C93="",J92="",E93&lt;&gt;""),"incorrect",IF(AND(E93="",F93&lt;&gt;""),"space",IF(AND(F93&lt;&gt;"",E93&gt;F93),"ascending",IF(OR(E93="",E93=1,E93=2,E93=3,E93=4,E93=5,E93=6,E93=7),"","Error")))))</f>
      </c>
      <c r="BQ90" s="65">
        <f>IF(AND(F93&lt;&gt;"",E93=F93),"ใส่เลขข้อซ้ำ",IF(AND(F93="",G93&lt;&gt;""),"space",IF(AND(G93&lt;&gt;"",F93&gt;G93),"ascending",IF(OR(F93="",F93=2,F93=3,F93=4,F93=5,F93=6,F93=7),"","Error"))))</f>
      </c>
      <c r="BR90" s="65">
        <f>IF(AND(G93&lt;&gt;"",OR(E93=G93,F93=G93)),"ใส่เลขข้อซ้ำ",IF(AND(G93="",H93&lt;&gt;""),"space",IF(AND(H93&lt;&gt;"",G93&gt;H93),"ascending",IF(OR(G93="",G93=3,G93=4,G93=5,G93=6,G93=7),"","Error"))))</f>
      </c>
      <c r="BS90" s="65">
        <f>IF(AND(H93&lt;&gt;"",OR(E93=H93,F93=H93,G93=H93)),"ใส่เลขข้อซ้ำ",IF(AND(H93="",I93&lt;&gt;""),"space",IF(AND(I93&lt;&gt;"",H93&gt;I93),"ascending",IF(OR(H93="",H93=4,H93=5,H93=6,H93=7),"","Error"))))</f>
      </c>
    </row>
    <row r="91" spans="1:69" ht="22.5" customHeight="1">
      <c r="A91" s="131" t="s">
        <v>148</v>
      </c>
      <c r="B91" s="518">
        <v>3.51</v>
      </c>
      <c r="C91" s="519"/>
      <c r="D91" s="520"/>
      <c r="E91" s="521"/>
      <c r="F91" s="522"/>
      <c r="G91" s="522"/>
      <c r="H91" s="522"/>
      <c r="I91" s="522"/>
      <c r="J91" s="522"/>
      <c r="K91" s="522"/>
      <c r="L91" s="522"/>
      <c r="M91" s="523"/>
      <c r="N91" s="150"/>
      <c r="O91" s="163"/>
      <c r="P91" s="513"/>
      <c r="Q91" s="514"/>
      <c r="R91" s="515"/>
      <c r="S91" s="150"/>
      <c r="T91" s="108"/>
      <c r="U91" s="40" t="s">
        <v>48</v>
      </c>
      <c r="V91" s="39">
        <v>60000</v>
      </c>
      <c r="W91" s="52"/>
      <c r="X91" s="52"/>
      <c r="Y91" s="46"/>
      <c r="Z91" s="61">
        <f>IF(Y91="","",IF(AND(W91="",X91=""),"",IF(OR(W91&lt;0,X91&lt;0),"Error",IF(ROUND(((Y91/(W91+X91))*5/$V91),2)&gt;5,5,IF(ROUND(((Y91/(W91+X91))*5/$V91),2)&lt;0,"Error",ROUND(((Y91/(W91+X91))*5/$V91),2))))))</f>
      </c>
      <c r="AA91" s="52"/>
      <c r="AB91" s="52"/>
      <c r="AC91" s="46"/>
      <c r="AD91" s="61">
        <f>IF(AC91="","",IF(AND(AA91="",AB91=""),"",IF(OR(AA91&lt;0,AB91&lt;0),"Error",IF(ROUND(((AC91/(AA91+AB91))*5/$V91),2)&gt;5,5,IF(ROUND(((AC91/(AA91+AB91))*5/$V91),2)&lt;0,"Error",ROUND(((AC91/(AA91+AB91))*5/$V91),2))))))</f>
      </c>
      <c r="AE91" s="52"/>
      <c r="AF91" s="52"/>
      <c r="AG91" s="46"/>
      <c r="AH91" s="61">
        <f>IF(AG91="","",IF(AND(AE91="",AF91=""),"",IF(OR(AE91&lt;0,AF91&lt;0),"Error",IF(ROUND(((AG91/(AE91+AF91))*5/$V91),2)&gt;5,5,IF(ROUND(((AG91/(AE91+AF91))*5/$V91),2)&lt;0,"Error",ROUND(((AG91/(AE91+AF91))*5/$V91),2))))))</f>
      </c>
      <c r="AI91" s="52"/>
      <c r="AJ91" s="52"/>
      <c r="AK91" s="46"/>
      <c r="AL91" s="61">
        <f>IF(AK91="","",IF(AND(AI91="",AJ91=""),"",IF(OR(AI91&lt;0,AJ91&lt;0),"Error",IF(ROUND(((AK91/(AI91+AJ91))*5/$V91),2)&gt;5,5,IF(ROUND(((AK91/(AI91+AJ91))*5/$V91),2)&lt;0,"Error",ROUND(((AK91/(AI91+AJ91))*5/$V91),2))))))</f>
      </c>
      <c r="AM91" s="52"/>
      <c r="AN91" s="52"/>
      <c r="AO91" s="46"/>
      <c r="AP91" s="61">
        <f>IF(AO91="","",IF(AND(AM91="",AN91=""),"",IF(OR(AM91&lt;0,AN91&lt;0),"Error",IF(ROUND(((AO91/(AM91+AN91))*5/$V91),2)&gt;5,5,IF(ROUND(((AO91/(AM91+AN91))*5/$V91),2)&lt;0,"Error",ROUND(((AO91/(AM91+AN91))*5/$V91),2))))))</f>
      </c>
      <c r="AQ91" s="52"/>
      <c r="AR91" s="52"/>
      <c r="AS91" s="46"/>
      <c r="AT91" s="61">
        <f>IF(AS91="","",IF(AND(AQ91="",AR91=""),"",IF(OR(AQ91&lt;0,AR91&lt;0),"Error",IF(ROUND(((AS91/(AQ91+AR91))*5/$V91),2)&gt;5,5,IF(ROUND(((AS91/(AQ91+AR91))*5/$V91),2)&lt;0,"Error",ROUND(((AS91/(AQ91+AR91))*5/$V91),2))))))</f>
      </c>
      <c r="AU91" s="52"/>
      <c r="AV91" s="52"/>
      <c r="AW91" s="46"/>
      <c r="AX91" s="61">
        <f>IF(AW91="","",IF(AND(AU91="",AV91=""),"",IF(OR(AU91&lt;0,AV91&lt;0),"Error",IF(ROUND(((AW91/(AU91+AV91))*5/$V91),2)&gt;5,5,IF(ROUND(((AW91/(AU91+AV91))*5/$V91),2)&lt;0,"Error",ROUND(((AW91/(AU91+AV91))*5/$V91),2))))))</f>
      </c>
      <c r="AY91" s="52"/>
      <c r="AZ91" s="52"/>
      <c r="BA91" s="46"/>
      <c r="BB91" s="61">
        <f>IF(BA91="","",IF(AND(AY91="",AZ91=""),"",IF(OR(AY91&lt;0,AZ91&lt;0),"Error",IF(ROUND(((BA91/(AY91+AZ91))*5/$V91),2)&gt;5,5,IF(ROUND(((BA91/(AY91+AZ91))*5/$V91),2)&lt;0,"Error",ROUND(((BA91/(AY91+AZ91))*5/$V91),2))))))</f>
      </c>
      <c r="BC91" s="52"/>
      <c r="BD91" s="52"/>
      <c r="BE91" s="46"/>
      <c r="BF91" s="61">
        <f>IF(BE91="","",IF(AND(BC91="",BD91=""),"",IF(OR(BC91&lt;0,BD91&lt;0),"Error",IF(ROUND(((BE91/(BC91+BD91))*5/$V91),2)&gt;5,5,IF(ROUND(((BE91/(BC91+BD91))*5/$V91),2)&lt;0,"Error",ROUND(((BE91/(BC91+BD91))*5/$V91),2))))))</f>
      </c>
      <c r="BG91" s="52"/>
      <c r="BH91" s="52"/>
      <c r="BI91" s="46"/>
      <c r="BJ91" s="61">
        <f>IF(BI91="","",IF(AND(BG91="",BH91=""),"",IF(OR(BG91&lt;0,BH91&lt;0),"Error",IF(ROUND(((BI91/(BG91+BH91))*5/$V91),2)&gt;5,5,IF(ROUND(((BI91/(BG91+BH91))*5/$V91),2)&lt;0,"Error",ROUND(((BI91/(BG91+BH91))*5/$V91),2))))))</f>
      </c>
      <c r="BK91" s="96"/>
      <c r="BP91" s="65">
        <f>IF(AND(I93&lt;&gt;"",OR(E93=I93,F93=I93,G93=I93,H93=I93)),"ใส่เลขข้อซ้ำ",IF(AND(I93="",J93&lt;&gt;""),"space",IF(AND(J93&lt;&gt;"",I93&gt;J93),"ascending",IF(OR(I93="",I93=5,I93=6,I93=7),"","Error"))))</f>
      </c>
      <c r="BQ91" s="65">
        <f>IF(AND(J93&lt;&gt;"",OR(E93=J93,F93=J93,G93=J93,H93=J93,I93=J93)),"ใส่เลขข้อซ้ำ",IF(OR(J93="",J93=6,J93=7),"","Error"))</f>
      </c>
    </row>
    <row r="92" spans="1:71" ht="22.5" customHeight="1">
      <c r="A92" s="440" t="s">
        <v>132</v>
      </c>
      <c r="B92" s="326" t="str">
        <f>IF(C93="","",IF(OR(C93=1,C93=2,C93=3,C93=4,C93=5,C93=6),"ดำเนินการ",IF(C93=7,"ดำเนินการครบ","Error")))</f>
        <v>ดำเนินการ</v>
      </c>
      <c r="C92" s="327"/>
      <c r="D92" s="328"/>
      <c r="E92" s="329" t="str">
        <f>IF(J92="","",IF(OR(J92=0,J92=1,J92=2,J92=3,J92=4,J92=5,J92=6),"มีการดำเนินการ",IF(J92=7,"มีการดำเนินการครบ","Error")))</f>
        <v>มีการดำเนินการ</v>
      </c>
      <c r="F92" s="330"/>
      <c r="G92" s="330"/>
      <c r="H92" s="330"/>
      <c r="I92" s="330"/>
      <c r="J92" s="116">
        <v>6</v>
      </c>
      <c r="K92" s="331" t="str">
        <f>IF(J92="","",IF(OR(J92=1,J92=2,J92=3,J92=4,J92=5,J92=6),"ข้อ ได้แก่ข้อที่",IF(OR(J92=0,J92=7),"ข้อ","ใส่เลขผิด")))</f>
        <v>ข้อ ได้แก่ข้อที่</v>
      </c>
      <c r="L92" s="331"/>
      <c r="M92" s="332"/>
      <c r="N92" s="358">
        <f>IF(AND(C93="",J92="",E94=""),"",IF(OR(E94&lt;&gt;"",B92="Error"),"Error",IF(AND(OR(C93=1,C93=2,C93=3,C93=4,C93=5,C93=6,C93=7),OR(J92=0,J92=1,J92=2,J92=3,J92=4,J92=5,J92=6,J92=7)),LOOKUP(J92,{0,1,2,4,6,7},{0,1,2,3,4,5}),"Error")))</f>
        <v>4</v>
      </c>
      <c r="O92" s="424"/>
      <c r="P92" s="400" t="str">
        <f>IF(OR(C93="",B92="Error",E92="Error",E94&lt;&gt;""),"",IF(C93&lt;=J92,"ü","û"))</f>
        <v>ü</v>
      </c>
      <c r="Q92" s="401"/>
      <c r="R92" s="402"/>
      <c r="S92" s="287"/>
      <c r="T92" s="290">
        <f>IF(AND(C93="",J92&lt;&gt;""),"ต้องใส่จำนวนข้อเป้าหมาย",IF(AND(OR(C93="",C93=1,C93=2,C93=3,C93=4,C93=5,C93=6,C93=7),OR(J92="",J92=0,J92=1,J92=2,J92=3,J92=4,J92=5,J92=6,J92=7)),"",IF(AND(C93="",J92=""),"","ใส่เลขผิด")))</f>
      </c>
      <c r="U92" s="41" t="s">
        <v>49</v>
      </c>
      <c r="V92" s="38">
        <v>50000</v>
      </c>
      <c r="W92" s="53"/>
      <c r="X92" s="53"/>
      <c r="Y92" s="47"/>
      <c r="Z92" s="62">
        <f>IF(Y92="","",IF(AND(W92="",X92=""),"",IF(OR(W92&lt;0,X92&lt;0),"Error",IF(ROUND(((Y92/(W92+X92))*5/$V92),2)&gt;5,5,IF(ROUND(((Y92/(W92+X92))*5/$V92),2)&lt;0,"Error",ROUND(((Y92/(W92+X92))*5/$V92),2))))))</f>
      </c>
      <c r="AA92" s="53"/>
      <c r="AB92" s="53"/>
      <c r="AC92" s="47"/>
      <c r="AD92" s="62">
        <f>IF(AC92="","",IF(AND(AA92="",AB92=""),"",IF(OR(AA92&lt;0,AB92&lt;0),"Error",IF(ROUND(((AC92/(AA92+AB92))*5/$V92),2)&gt;5,5,IF(ROUND(((AC92/(AA92+AB92))*5/$V92),2)&lt;0,"Error",ROUND(((AC92/(AA92+AB92))*5/$V92),2))))))</f>
      </c>
      <c r="AE92" s="53"/>
      <c r="AF92" s="53"/>
      <c r="AG92" s="47"/>
      <c r="AH92" s="62">
        <f>IF(AG92="","",IF(AND(AE92="",AF92=""),"",IF(OR(AE92&lt;0,AF92&lt;0),"Error",IF(ROUND(((AG92/(AE92+AF92))*5/$V92),2)&gt;5,5,IF(ROUND(((AG92/(AE92+AF92))*5/$V92),2)&lt;0,"Error",ROUND(((AG92/(AE92+AF92))*5/$V92),2))))))</f>
      </c>
      <c r="AI92" s="53"/>
      <c r="AJ92" s="53"/>
      <c r="AK92" s="47"/>
      <c r="AL92" s="62">
        <f>IF(AK92="","",IF(AND(AI92="",AJ92=""),"",IF(OR(AI92&lt;0,AJ92&lt;0),"Error",IF(ROUND(((AK92/(AI92+AJ92))*5/$V92),2)&gt;5,5,IF(ROUND(((AK92/(AI92+AJ92))*5/$V92),2)&lt;0,"Error",ROUND(((AK92/(AI92+AJ92))*5/$V92),2))))))</f>
      </c>
      <c r="AM92" s="53"/>
      <c r="AN92" s="53"/>
      <c r="AO92" s="47"/>
      <c r="AP92" s="62">
        <f>IF(AO92="","",IF(AND(AM92="",AN92=""),"",IF(OR(AM92&lt;0,AN92&lt;0),"Error",IF(ROUND(((AO92/(AM92+AN92))*5/$V92),2)&gt;5,5,IF(ROUND(((AO92/(AM92+AN92))*5/$V92),2)&lt;0,"Error",ROUND(((AO92/(AM92+AN92))*5/$V92),2))))))</f>
      </c>
      <c r="AQ92" s="53"/>
      <c r="AR92" s="53"/>
      <c r="AS92" s="47"/>
      <c r="AT92" s="62">
        <f>IF(AS92="","",IF(AND(AQ92="",AR92=""),"",IF(OR(AQ92&lt;0,AR92&lt;0),"Error",IF(ROUND(((AS92/(AQ92+AR92))*5/$V92),2)&gt;5,5,IF(ROUND(((AS92/(AQ92+AR92))*5/$V92),2)&lt;0,"Error",ROUND(((AS92/(AQ92+AR92))*5/$V92),2))))))</f>
      </c>
      <c r="AU92" s="53"/>
      <c r="AV92" s="53"/>
      <c r="AW92" s="47"/>
      <c r="AX92" s="62">
        <f>IF(AW92="","",IF(AND(AU92="",AV92=""),"",IF(OR(AU92&lt;0,AV92&lt;0),"Error",IF(ROUND(((AW92/(AU92+AV92))*5/$V92),2)&gt;5,5,IF(ROUND(((AW92/(AU92+AV92))*5/$V92),2)&lt;0,"Error",ROUND(((AW92/(AU92+AV92))*5/$V92),2))))))</f>
      </c>
      <c r="AY92" s="53"/>
      <c r="AZ92" s="53"/>
      <c r="BA92" s="47"/>
      <c r="BB92" s="62">
        <f>IF(BA92="","",IF(AND(AY92="",AZ92=""),"",IF(OR(AY92&lt;0,AZ92&lt;0),"Error",IF(ROUND(((BA92/(AY92+AZ92))*5/$V92),2)&gt;5,5,IF(ROUND(((BA92/(AY92+AZ92))*5/$V92),2)&lt;0,"Error",ROUND(((BA92/(AY92+AZ92))*5/$V92),2))))))</f>
      </c>
      <c r="BC92" s="53"/>
      <c r="BD92" s="53"/>
      <c r="BE92" s="47"/>
      <c r="BF92" s="62">
        <f>IF(BE92="","",IF(AND(BC92="",BD92=""),"",IF(OR(BC92&lt;0,BD92&lt;0),"Error",IF(ROUND(((BE92/(BC92+BD92))*5/$V92),2)&gt;5,5,IF(ROUND(((BE92/(BC92+BD92))*5/$V92),2)&lt;0,"Error",ROUND(((BE92/(BC92+BD92))*5/$V92),2))))))</f>
      </c>
      <c r="BG92" s="53"/>
      <c r="BH92" s="53"/>
      <c r="BI92" s="47"/>
      <c r="BJ92" s="62">
        <f>IF(BI92="","",IF(AND(BG92="",BH92=""),"",IF(OR(BG92&lt;0,BH92&lt;0),"Error",IF(ROUND(((BI92/(BG92+BH92))*5/$V92),2)&gt;5,5,IF(ROUND(((BI92/(BG92+BH92))*5/$V92),2)&lt;0,"Error",ROUND(((BI92/(BG92+BH92))*5/$V92),2))))))</f>
      </c>
      <c r="BK92" s="97"/>
      <c r="BP92" s="85">
        <f>IF(COUNTIF(BP90:BS90:BP91:BQ91,"Error")&gt;0,"Error","")</f>
      </c>
      <c r="BQ92" s="75">
        <f>COUNT(E93:J93)</f>
        <v>6</v>
      </c>
      <c r="BR92" s="552">
        <f>IF(COUNTIF(BP90,"incorrect")&gt;0,"ให้ใส่เป้าหมายและผลที่ดำเนินการได้ก่อน",IF(COUNTIF(BP90:BS90:BP91:BQ91,"space")&gt;0,"ให้ใส่เลขข้อโดยไม่ข้ามช่องว่าง",IF(COUNTIF(BP90:BS90:BP91:BQ91,"ascending")&gt;0,"ให้เรียงเลขข้อจากน้อยไปมาก",IF(COUNTIF(BQ90:BS90:BP91:BQ91,"ใส่เลขข้อซ้ำ")&gt;0,"ใส่เลขข้อซ้ำ",""))))</f>
      </c>
      <c r="BS92" s="554"/>
    </row>
    <row r="93" spans="1:71" ht="22.5" customHeight="1">
      <c r="A93" s="455"/>
      <c r="B93" s="81"/>
      <c r="C93" s="146">
        <v>4</v>
      </c>
      <c r="D93" s="74" t="str">
        <f>IF(C93="","",IF(OR(C93=1,C93=2,C93=3,C93=4,C93=5,C93=6,C93=7),"ข้อ",""))</f>
        <v>ข้อ</v>
      </c>
      <c r="E93" s="114">
        <v>1</v>
      </c>
      <c r="F93" s="115">
        <v>2</v>
      </c>
      <c r="G93" s="115">
        <v>3</v>
      </c>
      <c r="H93" s="115">
        <v>4</v>
      </c>
      <c r="I93" s="115">
        <v>5</v>
      </c>
      <c r="J93" s="115">
        <v>6</v>
      </c>
      <c r="K93" s="438"/>
      <c r="L93" s="438"/>
      <c r="M93" s="439"/>
      <c r="N93" s="359"/>
      <c r="O93" s="425"/>
      <c r="P93" s="403"/>
      <c r="Q93" s="404"/>
      <c r="R93" s="405"/>
      <c r="S93" s="345"/>
      <c r="T93" s="291"/>
      <c r="U93" s="42" t="s">
        <v>50</v>
      </c>
      <c r="V93" s="37">
        <v>25000</v>
      </c>
      <c r="W93" s="54"/>
      <c r="X93" s="54"/>
      <c r="Y93" s="48"/>
      <c r="Z93" s="63">
        <f>IF(Y93="","",IF(AND(W93="",X93=""),"",IF(OR(W93&lt;0,X93&lt;0),"Error",IF(ROUND(((Y93/(W93+X93))*5/$V93),2)&gt;5,5,IF(ROUND(((Y93/(W93+X93))*5/$V93),2)&lt;0,"Error",ROUND(((Y93/(W93+X93))*5/$V93),2))))))</f>
      </c>
      <c r="AA93" s="54"/>
      <c r="AB93" s="54"/>
      <c r="AC93" s="48"/>
      <c r="AD93" s="63">
        <f>IF(AC93="","",IF(AND(AA93="",AB93=""),"",IF(OR(AA93&lt;0,AB93&lt;0),"Error",IF(ROUND(((AC93/(AA93+AB93))*5/$V93),2)&gt;5,5,IF(ROUND(((AC93/(AA93+AB93))*5/$V93),2)&lt;0,"Error",ROUND(((AC93/(AA93+AB93))*5/$V93),2))))))</f>
      </c>
      <c r="AE93" s="54"/>
      <c r="AF93" s="54"/>
      <c r="AG93" s="48"/>
      <c r="AH93" s="63">
        <f>IF(AG93="","",IF(AND(AE93="",AF93=""),"",IF(OR(AE93&lt;0,AF93&lt;0),"Error",IF(ROUND(((AG93/(AE93+AF93))*5/$V93),2)&gt;5,5,IF(ROUND(((AG93/(AE93+AF93))*5/$V93),2)&lt;0,"Error",ROUND(((AG93/(AE93+AF93))*5/$V93),2))))))</f>
      </c>
      <c r="AI93" s="54"/>
      <c r="AJ93" s="54"/>
      <c r="AK93" s="48"/>
      <c r="AL93" s="63">
        <f>IF(AK93="","",IF(AND(AI93="",AJ93=""),"",IF(OR(AI93&lt;0,AJ93&lt;0),"Error",IF(ROUND(((AK93/(AI93+AJ93))*5/$V93),2)&gt;5,5,IF(ROUND(((AK93/(AI93+AJ93))*5/$V93),2)&lt;0,"Error",ROUND(((AK93/(AI93+AJ93))*5/$V93),2))))))</f>
      </c>
      <c r="AM93" s="54"/>
      <c r="AN93" s="54"/>
      <c r="AO93" s="48"/>
      <c r="AP93" s="63">
        <f>IF(AO93="","",IF(AND(AM93="",AN93=""),"",IF(OR(AM93&lt;0,AN93&lt;0),"Error",IF(ROUND(((AO93/(AM93+AN93))*5/$V93),2)&gt;5,5,IF(ROUND(((AO93/(AM93+AN93))*5/$V93),2)&lt;0,"Error",ROUND(((AO93/(AM93+AN93))*5/$V93),2))))))</f>
      </c>
      <c r="AQ93" s="54"/>
      <c r="AR93" s="54"/>
      <c r="AS93" s="48"/>
      <c r="AT93" s="63">
        <f>IF(AS93="","",IF(AND(AQ93="",AR93=""),"",IF(OR(AQ93&lt;0,AR93&lt;0),"Error",IF(ROUND(((AS93/(AQ93+AR93))*5/$V93),2)&gt;5,5,IF(ROUND(((AS93/(AQ93+AR93))*5/$V93),2)&lt;0,"Error",ROUND(((AS93/(AQ93+AR93))*5/$V93),2))))))</f>
      </c>
      <c r="AU93" s="54"/>
      <c r="AV93" s="54"/>
      <c r="AW93" s="48"/>
      <c r="AX93" s="63">
        <f>IF(AW93="","",IF(AND(AU93="",AV93=""),"",IF(OR(AU93&lt;0,AV93&lt;0),"Error",IF(ROUND(((AW93/(AU93+AV93))*5/$V93),2)&gt;5,5,IF(ROUND(((AW93/(AU93+AV93))*5/$V93),2)&lt;0,"Error",ROUND(((AW93/(AU93+AV93))*5/$V93),2))))))</f>
      </c>
      <c r="AY93" s="54"/>
      <c r="AZ93" s="54"/>
      <c r="BA93" s="48"/>
      <c r="BB93" s="63">
        <f>IF(BA93="","",IF(AND(AY93="",AZ93=""),"",IF(OR(AY93&lt;0,AZ93&lt;0),"Error",IF(ROUND(((BA93/(AY93+AZ93))*5/$V93),2)&gt;5,5,IF(ROUND(((BA93/(AY93+AZ93))*5/$V93),2)&lt;0,"Error",ROUND(((BA93/(AY93+AZ93))*5/$V93),2))))))</f>
      </c>
      <c r="BC93" s="54"/>
      <c r="BD93" s="54"/>
      <c r="BE93" s="48"/>
      <c r="BF93" s="63">
        <f>IF(BE93="","",IF(AND(BC93="",BD93=""),"",IF(OR(BC93&lt;0,BD93&lt;0),"Error",IF(ROUND(((BE93/(BC93+BD93))*5/$V93),2)&gt;5,5,IF(ROUND(((BE93/(BC93+BD93))*5/$V93),2)&lt;0,"Error",ROUND(((BE93/(BC93+BD93))*5/$V93),2))))))</f>
      </c>
      <c r="BG93" s="54"/>
      <c r="BH93" s="54"/>
      <c r="BI93" s="48"/>
      <c r="BJ93" s="63">
        <f>IF(BI93="","",IF(AND(BG93="",BH93=""),"",IF(OR(BG93&lt;0,BH93&lt;0),"Error",IF(ROUND(((BI93/(BG93+BH93))*5/$V93),2)&gt;5,5,IF(ROUND(((BI93/(BG93+BH93))*5/$V93),2)&lt;0,"Error",ROUND(((BI93/(BG93+BH93))*5/$V93),2))))))</f>
      </c>
      <c r="BK93" s="97"/>
      <c r="BL93" s="55">
        <f>IF(OR(W94="Error",AA94="Error",AE94="Error",AI94="Error",AM94="Error",AQ94="Error",AU94="Error",AY94="Error",BC94="Error",BG94="Error"),"Error",IF(COUNT(W94,AA94,AE94,AI94,AM94,AQ94,AU94,AY94,BC94,BG94)=0,"",SUM(W94,AA94,AE94,AI94,AM94,AQ94,AU94,AY94,BC94,BG94)))</f>
      </c>
      <c r="BM93" s="56">
        <f>IF(OR(X94="Error",AB94="Error",AF94="Error",AJ94="Error",AN94="Error",AR94="Error",AV94="Error",AZ94="Error",BD94="Error",BH94="Error"),"Error",IF(COUNT(X94,AB94,AF94,AJ94,AN94,AR94,AV94,AZ94,BD94,BH94)=0,"",SUM(X94,AB94,AF94,AJ94,AN94,AR94,AV94,AZ94,BD94,BH94)))</f>
      </c>
      <c r="BN93" s="57">
        <f>IF(COUNT(Z94,AD94,AH94,AL94,AP94,AT94,AX94,BB94,BF94,BJ94)=0,"",ROUND(AVERAGE(Z94,AD94,AH94,AL94,AP94,AT94,AX94,BB94,BF94,BJ94),2))</f>
      </c>
      <c r="BP93" s="65">
        <f>IF(AND(E96="",F96="",G96="",H96="",I96="",J96="",K96="",L96=""),"",IF(AND(C96="",J95="",E96&lt;&gt;""),"incorrect",IF(AND(E96="",F96&lt;&gt;""),"space",IF(AND(F96&lt;&gt;"",E96&gt;F96),"ascending",IF(OR(E96="",E96=1,E96=2,E96=3,E96=4,E96=5,E96=6,E96=7,E96=8,E96=9),"","Error")))))</f>
      </c>
      <c r="BQ93" s="65">
        <f>IF(AND(F96&lt;&gt;"",E96=F96),"ใส่เลขข้อซ้ำ",IF(AND(F96="",G96&lt;&gt;""),"space",IF(AND(G96&lt;&gt;"",F96&gt;G96),"ascending",IF(OR(F96="",F96=2,F96=3,F96=4,F96=5,F96=6,F96=7,F96=8,F96=9),"","Error"))))</f>
      </c>
      <c r="BR93" s="65">
        <f>IF(AND(G96&lt;&gt;"",OR(E96=G96,F96=G96)),"ใส่เลขข้อซ้ำ",IF(AND(G96="",H96&lt;&gt;""),"space",IF(AND(H96&lt;&gt;"",G96&gt;H96),"ascending",IF(OR(G96="",G96=3,G96=4,G96=5,G96=6,G96=7,G96=8,G96=9),"","Error"))))</f>
      </c>
      <c r="BS93" s="65">
        <f>IF(AND(H96&lt;&gt;"",OR(E96=H96,F96=H96,G96=H96)),"ใส่เลขข้อซ้ำ",IF(AND(H96="",I96&lt;&gt;""),"space",IF(AND(I96&lt;&gt;"",H96&gt;I96),"ascending",IF(OR(H96="",H96=4,H96=5,H96=6,H96=7,H96=8,H96=9),"","Error"))))</f>
      </c>
    </row>
    <row r="94" spans="1:71" ht="22.5" customHeight="1">
      <c r="A94" s="456"/>
      <c r="B94" s="365"/>
      <c r="C94" s="366"/>
      <c r="D94" s="367"/>
      <c r="E94" s="341">
        <f>IF(OR(B92="Error",E92="Error"),"",IF(AND(C93&lt;&gt;"",J92=""),"ให้ใส่จำนวนข้อที่ดำเนินการได้ทั้งหมด",IF(AND(J92=7,E93="",F93="",G93="",H93="",I93="",J93=""),"",IF(AND(OR(J92=0,J92=7),OR(E93&lt;&gt;"",F93&lt;&gt;"",G93&lt;&gt;"",H93&lt;&gt;"",I93&lt;&gt;"",J93&lt;&gt;"")),"ไม่ต้องใส่เลขข้อที่ได้ดำเนินการ",IF(AND(J92&lt;7,J92&gt;0,C93&lt;&gt;"",E93="",F93="",G93="",H93="",I93="",J93=""),"ใส่เลขข้อที่ได้ดำเนินการ",IF(BR92&lt;&gt;"",BR92,IF(BP92="Error","ใส่เลขผิด",IF(J92&lt;&gt;BQ92,"จำนวนข้อที่ดำเนินการไม่เท่ากับข้อที่ระบุ",""))))))))</f>
      </c>
      <c r="F94" s="466"/>
      <c r="G94" s="466"/>
      <c r="H94" s="466"/>
      <c r="I94" s="466"/>
      <c r="J94" s="466"/>
      <c r="K94" s="466"/>
      <c r="L94" s="466"/>
      <c r="M94" s="467"/>
      <c r="N94" s="360"/>
      <c r="O94" s="426"/>
      <c r="P94" s="406"/>
      <c r="Q94" s="407"/>
      <c r="R94" s="408"/>
      <c r="S94" s="288"/>
      <c r="T94" s="292"/>
      <c r="U94" s="516" t="s">
        <v>51</v>
      </c>
      <c r="V94" s="517"/>
      <c r="W94" s="59">
        <f>IF(AND(W91="",W92="",W93=""),"",IF(OR(W91&lt;0,W92&lt;0,W93&lt;0),"Error",SUM(W91:W93)))</f>
      </c>
      <c r="X94" s="60">
        <f>IF(AND(X91="",X92="",X93=""),"",IF(OR(X91&lt;0,X92&lt;0,X93&lt;0),"Error",SUM(X91:X93)))</f>
      </c>
      <c r="Y94" s="43">
        <f>IF(AND(Y91="",Y92="",Y93=""),"",ROUND(SUM(Y91:Y93),2))</f>
      </c>
      <c r="Z94" s="44">
        <f>IF(COUNT(Z91:Z93)=0,"",ROUND(AVERAGE(Z91:Z93),2))</f>
      </c>
      <c r="AA94" s="59">
        <f>IF(AND(AA91="",AA92="",AA93=""),"",IF(OR(AA91&lt;0,AA92&lt;0,AA93&lt;0),"Error",SUM(AA91:AA93)))</f>
      </c>
      <c r="AB94" s="60">
        <f>IF(AND(AB91="",AB92="",AB93=""),"",IF(OR(AB91&lt;0,AB92&lt;0,AB93&lt;0),"Error",SUM(AB91:AB93)))</f>
      </c>
      <c r="AC94" s="43">
        <f>IF(AND(AC91="",AC92="",AC93=""),"",ROUND(SUM(AC91:AC93),2))</f>
      </c>
      <c r="AD94" s="44">
        <f>IF(COUNT(AD91:AD93)=0,"",ROUND(AVERAGE(AD91:AD93),2))</f>
      </c>
      <c r="AE94" s="59">
        <f>IF(AND(AE91="",AE92="",AE93=""),"",IF(OR(AE91&lt;0,AE92&lt;0,AE93&lt;0),"Error",SUM(AE91:AE93)))</f>
      </c>
      <c r="AF94" s="60">
        <f>IF(AND(AF91="",AF92="",AF93=""),"",IF(OR(AF91&lt;0,AF92&lt;0,AF93&lt;0),"Error",SUM(AF91:AF93)))</f>
      </c>
      <c r="AG94" s="43">
        <f>IF(AND(AG91="",AG92="",AG93=""),"",ROUND(SUM(AG91:AG93),2))</f>
      </c>
      <c r="AH94" s="44">
        <f>IF(COUNT(AH91:AH93)=0,"",ROUND(AVERAGE(AH91:AH93),2))</f>
      </c>
      <c r="AI94" s="59">
        <f>IF(AND(AI91="",AI92="",AI93=""),"",IF(OR(AI91&lt;0,AI92&lt;0,AI93&lt;0),"Error",SUM(AI91:AI93)))</f>
      </c>
      <c r="AJ94" s="60">
        <f>IF(AND(AJ91="",AJ92="",AJ93=""),"",IF(OR(AJ91&lt;0,AJ92&lt;0,AJ93&lt;0),"Error",SUM(AJ91:AJ93)))</f>
      </c>
      <c r="AK94" s="43">
        <f>IF(AND(AK91="",AK92="",AK93=""),"",ROUND(SUM(AK91:AK93),2))</f>
      </c>
      <c r="AL94" s="44">
        <f>IF(COUNT(AL91:AL93)=0,"",ROUND(AVERAGE(AL91:AL93),2))</f>
      </c>
      <c r="AM94" s="59">
        <f>IF(AND(AM91="",AM92="",AM93=""),"",IF(OR(AM91&lt;0,AM92&lt;0,AM93&lt;0),"Error",SUM(AM91:AM93)))</f>
      </c>
      <c r="AN94" s="60">
        <f>IF(AND(AN91="",AN92="",AN93=""),"",IF(OR(AN91&lt;0,AN92&lt;0,AN93&lt;0),"Error",SUM(AN91:AN93)))</f>
      </c>
      <c r="AO94" s="43">
        <f>IF(AND(AO91="",AO92="",AO93=""),"",ROUND(SUM(AO91:AO93),2))</f>
      </c>
      <c r="AP94" s="44">
        <f>IF(COUNT(AP91:AP93)=0,"",ROUND(AVERAGE(AP91:AP93),2))</f>
      </c>
      <c r="AQ94" s="59">
        <f>IF(AND(AQ91="",AQ92="",AQ93=""),"",IF(OR(AQ91&lt;0,AQ92&lt;0,AQ93&lt;0),"Error",SUM(AQ91:AQ93)))</f>
      </c>
      <c r="AR94" s="60">
        <f>IF(AND(AR91="",AR92="",AR93=""),"",IF(OR(AR91&lt;0,AR92&lt;0,AR93&lt;0),"Error",SUM(AR91:AR93)))</f>
      </c>
      <c r="AS94" s="43">
        <f>IF(AND(AS91="",AS92="",AS93=""),"",ROUND(SUM(AS91:AS93),2))</f>
      </c>
      <c r="AT94" s="44">
        <f>IF(COUNT(AT91:AT93)=0,"",ROUND(AVERAGE(AT91:AT93),2))</f>
      </c>
      <c r="AU94" s="59">
        <f>IF(AND(AU91="",AU92="",AU93=""),"",IF(OR(AU91&lt;0,AU92&lt;0,AU93&lt;0),"Error",SUM(AU91:AU93)))</f>
      </c>
      <c r="AV94" s="60">
        <f>IF(AND(AV91="",AV92="",AV93=""),"",IF(OR(AV91&lt;0,AV92&lt;0,AV93&lt;0),"Error",SUM(AV91:AV93)))</f>
      </c>
      <c r="AW94" s="43">
        <f>IF(AND(AW91="",AW92="",AW93=""),"",ROUND(SUM(AW91:AW93),2))</f>
      </c>
      <c r="AX94" s="44">
        <f>IF(COUNT(AX91:AX93)=0,"",ROUND(AVERAGE(AX91:AX93),2))</f>
      </c>
      <c r="AY94" s="59">
        <f>IF(AND(AY91="",AY92="",AY93=""),"",IF(OR(AY91&lt;0,AY92&lt;0,AY93&lt;0),"Error",SUM(AY91:AY93)))</f>
      </c>
      <c r="AZ94" s="60">
        <f>IF(AND(AZ91="",AZ92="",AZ93=""),"",IF(OR(AZ91&lt;0,AZ92&lt;0,AZ93&lt;0),"Error",SUM(AZ91:AZ93)))</f>
      </c>
      <c r="BA94" s="43">
        <f>IF(AND(BA91="",BA92="",BA93=""),"",ROUND(SUM(BA91:BA93),2))</f>
      </c>
      <c r="BB94" s="44">
        <f>IF(COUNT(BB91:BB93)=0,"",ROUND(AVERAGE(BB91:BB93),2))</f>
      </c>
      <c r="BC94" s="59">
        <f>IF(AND(BC91="",BC92="",BC93=""),"",IF(OR(BC91&lt;0,BC92&lt;0,BC93&lt;0),"Error",SUM(BC91:BC93)))</f>
      </c>
      <c r="BD94" s="60">
        <f>IF(AND(BD91="",BD92="",BD93=""),"",IF(OR(BD91&lt;0,BD92&lt;0,BD93&lt;0),"Error",SUM(BD91:BD93)))</f>
      </c>
      <c r="BE94" s="43">
        <f>IF(AND(BE91="",BE92="",BE93=""),"",ROUND(SUM(BE91:BE93),2))</f>
      </c>
      <c r="BF94" s="44">
        <f>IF(COUNT(BF91:BF93)=0,"",ROUND(AVERAGE(BF91:BF93),2))</f>
      </c>
      <c r="BG94" s="59">
        <f>IF(AND(BG91="",BG92="",BG93=""),"",IF(OR(BG91&lt;0,BG92&lt;0,BG93&lt;0),"Error",SUM(BG91:BG93)))</f>
      </c>
      <c r="BH94" s="60">
        <f>IF(AND(BH91="",BH92="",BH93=""),"",IF(OR(BH91&lt;0,BH92&lt;0,BH93&lt;0),"Error",SUM(BH91:BH93)))</f>
      </c>
      <c r="BI94" s="43">
        <f>IF(AND(BI91="",BI92="",BI93=""),"",ROUND(SUM(BI91:BI93),2))</f>
      </c>
      <c r="BJ94" s="44">
        <f>IF(COUNT(BJ91:BJ93)=0,"",ROUND(AVERAGE(BJ91:BJ93),2))</f>
      </c>
      <c r="BK94" s="97"/>
      <c r="BL94" s="510">
        <f>IF(COUNT(Y94,AC94,AG94,AK94,AO94,AS94,AW94,BA94,BE94,BI94)=0,"",IF(OR(Y94&lt;1,AC94&lt;1,AG94&lt;1,AK94&lt;1,AO94&lt;1,AS94&lt;1,AW94&lt;1,BA94&lt;1,BE94&lt;1,BI94&lt;1),"Error",SUM(Y94,AC94,AG94,AK94,AO94,AS94,AW94,BA94,BE94,BI94)))</f>
      </c>
      <c r="BM94" s="510"/>
      <c r="BN94" s="510"/>
      <c r="BP94" s="65">
        <f>IF(AND(I96&lt;&gt;"",OR(E96=I96,F96=I96,G96=I96,H96=I96)),"ใส่เลขข้อซ้ำ",IF(AND(I96="",J96&lt;&gt;""),"space",IF(AND(J96&lt;&gt;"",I96&gt;J96),"ascending",IF(OR(I96="",I96=5,I96=6,I96=7,I96=8,I96=9),"","Error"))))</f>
      </c>
      <c r="BQ94" s="65">
        <f>IF(AND(J96&lt;&gt;"",OR(E96=J96,F96=J96,G96=J96,H96=J96,I96=J96)),"ใส่เลขข้อซ้ำ",IF(AND(J96="",K96&lt;&gt;""),"space",IF(AND(K96&lt;&gt;"",J96&gt;K96),"ascending",IF(OR(J96="",J96=6,J96=7,J96=8,J96=9),"","Error"))))</f>
      </c>
      <c r="BR94" s="77">
        <f>IF(AND(K96&lt;&gt;"",OR(E96=K96,F96=K96,G96=K96,H96=K96,I96=K96,J96=K96)),"ใส่เลขข้อซ้ำ",IF(AND(K96="",L96&lt;&gt;""),"space",IF(AND(L96&lt;&gt;"",K96&gt;L96),"ascending",IF(OR(K96="",K96=7,K96=8,K96=9),"","Error"))))</f>
      </c>
      <c r="BS94" s="77">
        <f>IF(AND(L96&lt;&gt;"",OR(E96=L96,F96=L96,G96=L96,H96=L96,I96=L96,J96=L96,K96=L96)),"ใส่เลขข้อซ้ำ",IF(OR(L96="",L96=8,L96=9),"","Error"))</f>
      </c>
    </row>
    <row r="95" spans="1:71" ht="22.5" customHeight="1">
      <c r="A95" s="440" t="s">
        <v>80</v>
      </c>
      <c r="B95" s="326" t="str">
        <f>IF(C96="","",IF(OR(C96=1,C96=2,C96=3,C96=4,C96=5,C96=6,C96=7,C96=8),"ดำเนินการ",IF(C96=9,"ดำเนินการครบ","Error")))</f>
        <v>ดำเนินการ</v>
      </c>
      <c r="C95" s="327"/>
      <c r="D95" s="328"/>
      <c r="E95" s="329" t="str">
        <f>IF(J95="","",IF(OR(J95=0,J95=1,J95=2,J95=3,J95=4,J95=5,J95=6,J95=7,J95=8),"มีการดำเนินการ",IF(J95=9,"มีการดำเนินการครบ","Error")))</f>
        <v>มีการดำเนินการ</v>
      </c>
      <c r="F95" s="330"/>
      <c r="G95" s="330"/>
      <c r="H95" s="330"/>
      <c r="I95" s="330"/>
      <c r="J95" s="113">
        <v>8</v>
      </c>
      <c r="K95" s="331" t="str">
        <f>IF(J95="","",IF(OR(J95=1,J95=2,J95=3,J95=4,J95=5,J95=6,J95=7,J95=8),"ข้อ ได้แก่ข้อที่",IF(OR(J95=0,J95=9),"ข้อ","ใส่เลขผิด")))</f>
        <v>ข้อ ได้แก่ข้อที่</v>
      </c>
      <c r="L95" s="331"/>
      <c r="M95" s="332"/>
      <c r="N95" s="358">
        <f>IF(AND(C96="",J95="",E97=""),"",IF(OR(E97&lt;&gt;"",B95="Error"),"Error",IF(AND(OR(C96=1,C96=2,C96=3,C96=4,C96=5,C96=6,C96=7,C96=8,C96=9),OR(J95=0,J95=1,J95=2,J95=3,J95=4,J95=5,J95=6,J95=7,J95=8,J95=9)),LOOKUP(J95,{0,1,2,4,7,9},{0,1,2,3,4,5}),"Error")))</f>
        <v>4</v>
      </c>
      <c r="O95" s="424"/>
      <c r="P95" s="349" t="str">
        <f>IF(OR(C96="",B95="Error",E95="Error",E97&lt;&gt;""),"",IF(C96&lt;=J95,"ü","û"))</f>
        <v>ü</v>
      </c>
      <c r="Q95" s="350"/>
      <c r="R95" s="351"/>
      <c r="S95" s="287"/>
      <c r="T95" s="290">
        <f>IF(AND(C96="",J95&lt;&gt;""),"ต้องใส่จำนวนข้อเป้าหมาย",IF(AND(OR(C96="",C96=1,C96=2,C96=3,C96=4,C96=5,C96=6,C96=7,C96=8,C96=9),OR(J95="",J95=0,J95=1,J95=2,J95=3,J95=4,J95=5,J95=6,J95=7,J95=8,J95=9)),"",IF(AND(C96="",J95=""),"","ใส่เลขผิด")))</f>
      </c>
      <c r="BK95" s="98"/>
      <c r="BP95" s="85">
        <f>IF(COUNTIF(BP93:BS93:BP94:BS94,"Error")&gt;0,"Error","")</f>
      </c>
      <c r="BQ95" s="75">
        <f>COUNT(E96:L96)</f>
        <v>8</v>
      </c>
      <c r="BR95" s="555">
        <f>IF(COUNTIF(BP93,"incorrect")&gt;0,"ให้ใส่เป้าหมายและผลที่ดำเนินการได้ก่อน",IF(COUNTIF(BP93:BS93:BP94:BS94,"space")&gt;0,"ให้ใส่เลขข้อโดยไม่ข้ามช่องว่าง",IF(COUNTIF(BP93:BS93:BP94:BS94,"ascending")&gt;0,"ให้เรียงเลขข้อจากน้อยไปมาก",IF(COUNTIF(BQ93:BS93:BP94:BS94,"ใส่เลขข้อซ้ำ")&gt;0,"ใส่เลขข้อซ้ำ",""))))</f>
      </c>
      <c r="BS95" s="556"/>
    </row>
    <row r="96" spans="1:29" ht="22.5" customHeight="1">
      <c r="A96" s="455"/>
      <c r="B96" s="78"/>
      <c r="C96" s="146">
        <v>4</v>
      </c>
      <c r="D96" s="74" t="str">
        <f>IF(C96="","",IF(OR(C96=1,C96=2,C96=3,C96=4,C96=5,C96=6,C96=7,C96=8,C96=9),"ข้อ",""))</f>
        <v>ข้อ</v>
      </c>
      <c r="E96" s="114">
        <v>1</v>
      </c>
      <c r="F96" s="115">
        <v>2</v>
      </c>
      <c r="G96" s="284">
        <v>3</v>
      </c>
      <c r="H96" s="115">
        <v>4</v>
      </c>
      <c r="I96" s="115">
        <v>5</v>
      </c>
      <c r="J96" s="115">
        <v>6</v>
      </c>
      <c r="K96" s="115">
        <v>7</v>
      </c>
      <c r="L96" s="115">
        <v>8</v>
      </c>
      <c r="M96" s="102"/>
      <c r="N96" s="359"/>
      <c r="O96" s="425"/>
      <c r="P96" s="352"/>
      <c r="Q96" s="353"/>
      <c r="R96" s="354"/>
      <c r="S96" s="345"/>
      <c r="T96" s="291"/>
      <c r="U96" s="45">
        <f>IF(COUNT(BN58,BN65,BN72,BN79,BN86,BN93)=0,"",ROUND(AVERAGE(BN58,BN65,BN72,BN79,BN86,BN93),2))</f>
        <v>5</v>
      </c>
      <c r="V96" s="542">
        <f>IF(OR(BL58="Error",BL65="Error",BL72="Error",BL79="Error",BL86="Error",BL93="Error"),"Error",IF(COUNT(BL58,BL65,BL72,BL79,BL86,BL93)=0,"",SUM(BL58,BL65,BL72,BL79,BL86,BL93)))</f>
        <v>15</v>
      </c>
      <c r="W96" s="543"/>
      <c r="X96" s="56">
        <f>IF(OR(BM58="Error",BM65="Error",BM72="Error",BM79="Error",BM86="Error",BM93="Error"),"Error",IF(COUNT(BM58,BM65,BM72,BM79,BM86,BM93)=0,"",SUM(BM58,BM65,BM72,BM79,BM86,BM93)))</f>
        <v>0</v>
      </c>
      <c r="Y96" s="524">
        <f>IF(COUNT(BL59,BL66,BL73,BL80,BL87,BL94)=0,"",SUM(BL59,BL66,BL73,BL80,BL87,BL94))</f>
        <v>2554100</v>
      </c>
      <c r="Z96" s="525"/>
      <c r="AC96" s="64">
        <f>SUM(COUNT(Z59,AD59,AH59,AL59,AP59,AT59,AX59,BB59,BF59,BJ59),COUNT(Z66,AD66,AH66,AL66,AP66,AT66,AX66,BB66,BF66,BJ66),COUNT(Z73,AD73,AH73,AL73,AP73,AT73,AX73,BB73,BF73,BJ73),COUNT(Z80,AD80,AH80,AL80,AP80,AT80,AX80,BB80,BF80,BJ80),COUNT(Z87,AD87,AH87,AL87,AP87,AT87,AX87,BB87,BF87,BJ87),COUNT(Z94,AD94,AH94,AL94,AP94,AT94,AX94,BB94,BF94,BJ94))</f>
        <v>1</v>
      </c>
    </row>
    <row r="97" spans="1:63" ht="45" customHeight="1">
      <c r="A97" s="456"/>
      <c r="B97" s="338"/>
      <c r="C97" s="339"/>
      <c r="D97" s="340"/>
      <c r="E97" s="341">
        <f>IF(OR(B95="Error",E95="Error"),"",IF(AND(C96&lt;&gt;"",J95=""),"ให้ใส่จำนวนข้อที่ดำเนินการได้ทั้งหมด",IF(AND(J95=9,E96="",F96="",G96="",H96="",I96="",J96="",K96="",L96=""),"",IF(AND(OR(J95=0,J95=9),OR(E96&lt;&gt;"",F96&lt;&gt;"",G96&lt;&gt;"",H96&lt;&gt;"",I96&lt;&gt;"",J96&lt;&gt;"",K96&lt;&gt;"",L96&lt;&gt;"")),"ไม่ต้องใส่เลขข้อที่ได้ดำเนินการ",IF(AND(J95&lt;9,J95&gt;0,C96&lt;&gt;"",E96="",F96="",G96="",H96="",I96="",J96="",K96="",L96=""),"ใส่เลขข้อที่ได้ดำเนินการ",IF(BR95&lt;&gt;"",BR95,IF(BP95="Error","ใส่เลขผิด",IF(J95&lt;&gt;BQ95,"จำนวนข้อที่ดำเนินการไม่เท่ากับข้อที่ระบุ",""))))))))</f>
      </c>
      <c r="F97" s="466"/>
      <c r="G97" s="466"/>
      <c r="H97" s="466"/>
      <c r="I97" s="466"/>
      <c r="J97" s="466"/>
      <c r="K97" s="466"/>
      <c r="L97" s="466"/>
      <c r="M97" s="467"/>
      <c r="N97" s="360"/>
      <c r="O97" s="426"/>
      <c r="P97" s="355"/>
      <c r="Q97" s="356"/>
      <c r="R97" s="357"/>
      <c r="S97" s="288"/>
      <c r="T97" s="292"/>
      <c r="V97" s="121">
        <f>IF(Y20="","",IF(OR(Y20="Error",BR14="Error"),"จำนวนอาจารย์ประจำที่คำนวณได้จากตัวบ่งชี้ที่ 4.3 ไม่ตรงกับตัวบ่งชี้ที่ 2.2 หรือ 2.3",""))</f>
      </c>
      <c r="BK97" s="104"/>
    </row>
    <row r="98" spans="1:63" ht="45" customHeight="1">
      <c r="A98" s="131" t="s">
        <v>149</v>
      </c>
      <c r="B98" s="132"/>
      <c r="C98" s="133"/>
      <c r="D98" s="134"/>
      <c r="E98" s="546" t="s">
        <v>156</v>
      </c>
      <c r="F98" s="547"/>
      <c r="G98" s="547"/>
      <c r="H98" s="547"/>
      <c r="I98" s="547"/>
      <c r="J98" s="547"/>
      <c r="K98" s="547"/>
      <c r="L98" s="547"/>
      <c r="M98" s="548"/>
      <c r="N98" s="167">
        <f>IF(COUNTIF(N5:N97,"Error")&gt;0,"Error",IF(COUNT(N5,N11:N32,N42:N56,N63:N68,N73,N78:N89,N92:N97)=0,"",SUM(N5,N11:N32,N42:N56,N63:N68,N73,N78:N89,N92:N97)/IF(COUNT(N5,N11:N32,N42:N56,N63:N68,N73,N78:N89,N92:N97)=0,1,COUNT(N5,N11:N32,N42:N56,N63:N68,N73,N78:N89,N92:N97))))</f>
        <v>4.043478260869565</v>
      </c>
      <c r="O98" s="163"/>
      <c r="P98" s="513"/>
      <c r="Q98" s="514"/>
      <c r="R98" s="515"/>
      <c r="S98" s="150"/>
      <c r="T98" s="108"/>
      <c r="BK98" s="96"/>
    </row>
    <row r="99" spans="1:63" ht="22.5">
      <c r="A99" s="526" t="s">
        <v>63</v>
      </c>
      <c r="B99" s="528"/>
      <c r="C99" s="529"/>
      <c r="D99" s="530"/>
      <c r="E99" s="528"/>
      <c r="F99" s="529"/>
      <c r="G99" s="529"/>
      <c r="H99" s="529"/>
      <c r="I99" s="529"/>
      <c r="J99" s="529"/>
      <c r="K99" s="529"/>
      <c r="L99" s="529"/>
      <c r="M99" s="530"/>
      <c r="N99" s="534">
        <f>IF(COUNTIF(N5:N97,"Error")&gt;0,"Error",IF(COUNT(N5,N11:N32,N42:N56,N63:N68,N73,N78:N89,N92:N97)=0,"",SUM(N5,N11:N32,N42:N56,N63:N68,N73,N78:N89,N92:N97)/IF(COUNT(N5,N11:N32,N42:N56,N63:N68,N73,N78:N89,N92:N97)=0,1,COUNT(N5,N11:N32,N42:N56,N63:N68,N73,N78:N89,N92:N97))))</f>
        <v>4.043478260869565</v>
      </c>
      <c r="O99" s="544"/>
      <c r="P99" s="84" t="str">
        <f>IF(Q99="","","บรรลุ")</f>
        <v>บรรลุ</v>
      </c>
      <c r="Q99" s="82">
        <f>IF(N99="Error","",COUNTIF(P5:R97,"ü"))</f>
        <v>20</v>
      </c>
      <c r="R99" s="141" t="str">
        <f>IF(Q99="","","ข้อ")</f>
        <v>ข้อ</v>
      </c>
      <c r="S99" s="540">
        <f>IF(COUNTIF(S5:S98,"Error")&gt;0,"Error",SUM(S5,S11:S32,S42:S56,S63:S68,S73,S78:S89,S92:S97)/IF(COUNT(S5,S11:S32,S42:S56,S63:S68,S73,S78:S89,S92:S97)=0,1,COUNT(S5,S11:S32,S42:S56,S63:S68,S73,S78:S89,S92:S97)))</f>
        <v>0</v>
      </c>
      <c r="T99" s="290"/>
      <c r="BK99" s="97"/>
    </row>
    <row r="100" spans="1:63" ht="22.5">
      <c r="A100" s="527"/>
      <c r="B100" s="531"/>
      <c r="C100" s="532"/>
      <c r="D100" s="533"/>
      <c r="E100" s="531"/>
      <c r="F100" s="532"/>
      <c r="G100" s="532"/>
      <c r="H100" s="532"/>
      <c r="I100" s="532"/>
      <c r="J100" s="532"/>
      <c r="K100" s="532"/>
      <c r="L100" s="532"/>
      <c r="M100" s="533"/>
      <c r="N100" s="535"/>
      <c r="O100" s="545"/>
      <c r="P100" s="103" t="str">
        <f>IF(Q100="","","ไม่บรรลุ")</f>
        <v>ไม่บรรลุ</v>
      </c>
      <c r="Q100" s="83">
        <f>IF(N99="Error","",COUNTIF(P5:R97,"û"))</f>
        <v>3</v>
      </c>
      <c r="R100" s="140" t="str">
        <f>IF(Q100="","","ข้อ")</f>
        <v>ข้อ</v>
      </c>
      <c r="S100" s="541"/>
      <c r="T100" s="292"/>
      <c r="BK100" s="97"/>
    </row>
    <row r="101" spans="1:63" ht="25.5">
      <c r="A101" s="30" t="s">
        <v>133</v>
      </c>
      <c r="BK101" s="97"/>
    </row>
    <row r="102" spans="1:63" ht="22.5">
      <c r="A102" s="30" t="s">
        <v>127</v>
      </c>
      <c r="BK102" s="98"/>
    </row>
    <row r="103" spans="1:20" ht="45">
      <c r="A103" s="66" t="s">
        <v>42</v>
      </c>
      <c r="B103" s="66"/>
      <c r="C103" s="145"/>
      <c r="D103" s="143">
        <f>IF(C103="","","ข้อ")</f>
      </c>
      <c r="E103" s="100"/>
      <c r="F103" s="101"/>
      <c r="G103" s="101"/>
      <c r="H103" s="101"/>
      <c r="I103" s="101"/>
      <c r="J103" s="101"/>
      <c r="K103" s="99"/>
      <c r="L103" s="536">
        <f>IF(K103="","","ข้อ")</f>
      </c>
      <c r="M103" s="537"/>
      <c r="N103" s="168"/>
      <c r="O103" s="142"/>
      <c r="P103" s="538">
        <f>IF(OR(C103="",K103=""),"",IF(AND(OR(C103=1,C103=2,C103=3,C103=4,C103=5),OR(K103=0,K103=1,K103=2,K103=3,K103=4,K103=5)),IF(C103&lt;=K103,"/","X"),"Error"))</f>
      </c>
      <c r="Q103" s="538"/>
      <c r="R103" s="539"/>
      <c r="S103" s="65">
        <f>IF(OR(C103="",K103=""),"",IF(AND(OR(C103=1,C103=2,C103=3,C103=4,C103=5),OR(K103=0,K103=1,K103=2,K103=3,K103=4,K103=5)),LOOKUP(K103,{0,1,2,3,4,5},{0,1,2,3,4,5}),"Error"))</f>
      </c>
      <c r="T103" s="85">
        <f>IF(AND(OR(C103="",C103=1,C103=2,C103=3,C103=4,C103=5),OR(K103="",K103=0,K103=1,K103=2,K103=3,K103=4,K103=5)),"",IF(AND(C103="",K103=""),"","ใส่เลขผิด"))</f>
      </c>
    </row>
    <row r="104" spans="1:20" ht="45">
      <c r="A104" s="66" t="s">
        <v>43</v>
      </c>
      <c r="B104" s="66"/>
      <c r="C104" s="145"/>
      <c r="D104" s="143">
        <f>IF(C104="","","ข้อ")</f>
      </c>
      <c r="E104" s="100"/>
      <c r="F104" s="101"/>
      <c r="G104" s="101"/>
      <c r="H104" s="101"/>
      <c r="I104" s="101"/>
      <c r="J104" s="101"/>
      <c r="K104" s="99"/>
      <c r="L104" s="536">
        <f>IF(K104="","","ข้อ")</f>
      </c>
      <c r="M104" s="537"/>
      <c r="N104" s="168"/>
      <c r="O104" s="142"/>
      <c r="P104" s="538">
        <f>IF(OR(C104="",K104=""),"",IF(AND(OR(C104=1,C104=2,C104=3,C104=4,C104=5),OR(K104=0,K104=1,K104=2,K104=3,K104=4,K104=5)),IF(C104&lt;=K104,"/","X"),"Error"))</f>
      </c>
      <c r="Q104" s="538"/>
      <c r="R104" s="539"/>
      <c r="S104" s="65">
        <f>IF(OR(C104="",K104=""),"",IF(AND(OR(C104=1,C104=2,C104=3,C104=4,C104=5),OR(K104=0,K104=1,K104=2,K104=3,K104=4,K104=5)),LOOKUP(K104,{0,1,2,3,4,5},{0,1,2,3,4,5}),"Error"))</f>
      </c>
      <c r="T104" s="85">
        <f>IF(AND(OR(C104="",C104=1,C104=2,C104=3,C104=4,C104=5),OR(K104="",K104=0,K104=1,K104=2,K104=3,K104=4,K104=5)),"",IF(AND(C104="",K104=""),"","ใส่เลขผิด"))</f>
      </c>
    </row>
  </sheetData>
  <sheetProtection password="CC53" sheet="1"/>
  <mergeCells count="584">
    <mergeCell ref="E72:M72"/>
    <mergeCell ref="B76:D76"/>
    <mergeCell ref="B77:D77"/>
    <mergeCell ref="E76:M76"/>
    <mergeCell ref="E77:M77"/>
    <mergeCell ref="B59:D60"/>
    <mergeCell ref="B61:D62"/>
    <mergeCell ref="E69:M69"/>
    <mergeCell ref="E70:M70"/>
    <mergeCell ref="E71:M71"/>
    <mergeCell ref="E57:I57"/>
    <mergeCell ref="E58:I58"/>
    <mergeCell ref="E59:I59"/>
    <mergeCell ref="B90:D90"/>
    <mergeCell ref="E90:M90"/>
    <mergeCell ref="B84:D84"/>
    <mergeCell ref="E84:I84"/>
    <mergeCell ref="K84:M84"/>
    <mergeCell ref="B70:D70"/>
    <mergeCell ref="B71:D71"/>
    <mergeCell ref="N57:N58"/>
    <mergeCell ref="N59:N60"/>
    <mergeCell ref="N61:N62"/>
    <mergeCell ref="B69:D69"/>
    <mergeCell ref="B57:D58"/>
    <mergeCell ref="E60:I60"/>
    <mergeCell ref="E61:I61"/>
    <mergeCell ref="E62:I62"/>
    <mergeCell ref="N66:N68"/>
    <mergeCell ref="I67:M67"/>
    <mergeCell ref="B41:D41"/>
    <mergeCell ref="E41:M41"/>
    <mergeCell ref="J61:M62"/>
    <mergeCell ref="B53:D53"/>
    <mergeCell ref="E53:M53"/>
    <mergeCell ref="B51:D51"/>
    <mergeCell ref="E51:I51"/>
    <mergeCell ref="J57:M58"/>
    <mergeCell ref="J59:M60"/>
    <mergeCell ref="K51:M51"/>
    <mergeCell ref="B37:D38"/>
    <mergeCell ref="B39:D40"/>
    <mergeCell ref="N33:N34"/>
    <mergeCell ref="N35:N36"/>
    <mergeCell ref="N37:N38"/>
    <mergeCell ref="N39:N40"/>
    <mergeCell ref="E33:I33"/>
    <mergeCell ref="E34:I34"/>
    <mergeCell ref="E35:I35"/>
    <mergeCell ref="E36:I36"/>
    <mergeCell ref="B33:D34"/>
    <mergeCell ref="B35:D36"/>
    <mergeCell ref="E37:I37"/>
    <mergeCell ref="E38:I38"/>
    <mergeCell ref="B8:D8"/>
    <mergeCell ref="B9:D9"/>
    <mergeCell ref="B10:D10"/>
    <mergeCell ref="E8:M8"/>
    <mergeCell ref="E9:M9"/>
    <mergeCell ref="E10:M10"/>
    <mergeCell ref="I31:M31"/>
    <mergeCell ref="B29:D29"/>
    <mergeCell ref="O57:O58"/>
    <mergeCell ref="O59:O60"/>
    <mergeCell ref="P8:R8"/>
    <mergeCell ref="P10:R10"/>
    <mergeCell ref="O37:O38"/>
    <mergeCell ref="O39:O40"/>
    <mergeCell ref="P39:R40"/>
    <mergeCell ref="E39:I39"/>
    <mergeCell ref="P69:R69"/>
    <mergeCell ref="P70:R70"/>
    <mergeCell ref="P41:R41"/>
    <mergeCell ref="O35:O36"/>
    <mergeCell ref="P33:R34"/>
    <mergeCell ref="BR73:BS73"/>
    <mergeCell ref="U66:V66"/>
    <mergeCell ref="U59:V59"/>
    <mergeCell ref="S37:S38"/>
    <mergeCell ref="T37:T38"/>
    <mergeCell ref="S59:S60"/>
    <mergeCell ref="BR78:BT78"/>
    <mergeCell ref="T61:T62"/>
    <mergeCell ref="S73:S75"/>
    <mergeCell ref="S61:S62"/>
    <mergeCell ref="AE61:AH61"/>
    <mergeCell ref="AC69:AD69"/>
    <mergeCell ref="AG69:AH69"/>
    <mergeCell ref="T59:T60"/>
    <mergeCell ref="BL73:BN73"/>
    <mergeCell ref="U87:V87"/>
    <mergeCell ref="AE82:AH82"/>
    <mergeCell ref="AM89:AP89"/>
    <mergeCell ref="AQ89:AT89"/>
    <mergeCell ref="AU89:AX89"/>
    <mergeCell ref="BC82:BF82"/>
    <mergeCell ref="AE89:AH89"/>
    <mergeCell ref="AU82:AX82"/>
    <mergeCell ref="BR87:BT87"/>
    <mergeCell ref="BR92:BS92"/>
    <mergeCell ref="BR95:BS95"/>
    <mergeCell ref="T92:T94"/>
    <mergeCell ref="BL87:BN87"/>
    <mergeCell ref="W89:Z89"/>
    <mergeCell ref="BG89:BJ89"/>
    <mergeCell ref="AI89:AL89"/>
    <mergeCell ref="AA89:AD89"/>
    <mergeCell ref="T87:T89"/>
    <mergeCell ref="AK90:AL90"/>
    <mergeCell ref="AO90:AP90"/>
    <mergeCell ref="BL94:BN94"/>
    <mergeCell ref="P87:R89"/>
    <mergeCell ref="O84:O86"/>
    <mergeCell ref="AG90:AH90"/>
    <mergeCell ref="AC90:AD90"/>
    <mergeCell ref="S92:S94"/>
    <mergeCell ref="O92:O94"/>
    <mergeCell ref="S84:S86"/>
    <mergeCell ref="O51:O53"/>
    <mergeCell ref="A51:A53"/>
    <mergeCell ref="S87:S89"/>
    <mergeCell ref="O87:O89"/>
    <mergeCell ref="A84:A86"/>
    <mergeCell ref="O61:O62"/>
    <mergeCell ref="O63:O65"/>
    <mergeCell ref="S57:S58"/>
    <mergeCell ref="P57:R58"/>
    <mergeCell ref="P51:R53"/>
    <mergeCell ref="T57:T58"/>
    <mergeCell ref="S42:S44"/>
    <mergeCell ref="S45:S47"/>
    <mergeCell ref="S48:S50"/>
    <mergeCell ref="S39:S40"/>
    <mergeCell ref="T39:T40"/>
    <mergeCell ref="T51:T53"/>
    <mergeCell ref="S51:S53"/>
    <mergeCell ref="T45:T47"/>
    <mergeCell ref="A92:A94"/>
    <mergeCell ref="A95:A97"/>
    <mergeCell ref="S35:S36"/>
    <mergeCell ref="T35:T36"/>
    <mergeCell ref="B72:D72"/>
    <mergeCell ref="P35:R36"/>
    <mergeCell ref="J35:M36"/>
    <mergeCell ref="J37:M38"/>
    <mergeCell ref="P37:R38"/>
    <mergeCell ref="J39:M40"/>
    <mergeCell ref="AE54:AH54"/>
    <mergeCell ref="W54:Z54"/>
    <mergeCell ref="E98:M98"/>
    <mergeCell ref="A57:A58"/>
    <mergeCell ref="A35:A36"/>
    <mergeCell ref="A37:A38"/>
    <mergeCell ref="A39:A40"/>
    <mergeCell ref="E40:I40"/>
    <mergeCell ref="I52:M52"/>
    <mergeCell ref="A59:A60"/>
    <mergeCell ref="L104:M104"/>
    <mergeCell ref="P104:R104"/>
    <mergeCell ref="AY89:BB89"/>
    <mergeCell ref="BC89:BF89"/>
    <mergeCell ref="E97:M97"/>
    <mergeCell ref="O99:O100"/>
    <mergeCell ref="AS90:AT90"/>
    <mergeCell ref="AW90:AX90"/>
    <mergeCell ref="BA90:BB90"/>
    <mergeCell ref="BE90:BF90"/>
    <mergeCell ref="T99:T100"/>
    <mergeCell ref="S99:S100"/>
    <mergeCell ref="P98:R98"/>
    <mergeCell ref="U94:V94"/>
    <mergeCell ref="V96:W96"/>
    <mergeCell ref="P90:R90"/>
    <mergeCell ref="T95:T97"/>
    <mergeCell ref="S95:S97"/>
    <mergeCell ref="A99:A100"/>
    <mergeCell ref="B99:D100"/>
    <mergeCell ref="E99:M100"/>
    <mergeCell ref="N99:N100"/>
    <mergeCell ref="L103:M103"/>
    <mergeCell ref="P103:R103"/>
    <mergeCell ref="Y96:Z96"/>
    <mergeCell ref="Y90:Z90"/>
    <mergeCell ref="AI82:AL82"/>
    <mergeCell ref="AM82:AP82"/>
    <mergeCell ref="AQ82:AT82"/>
    <mergeCell ref="B95:D95"/>
    <mergeCell ref="E95:I95"/>
    <mergeCell ref="K95:M95"/>
    <mergeCell ref="P95:R97"/>
    <mergeCell ref="N95:N97"/>
    <mergeCell ref="B97:D97"/>
    <mergeCell ref="O95:O97"/>
    <mergeCell ref="BI90:BJ90"/>
    <mergeCell ref="E91:M91"/>
    <mergeCell ref="W82:Z82"/>
    <mergeCell ref="AK83:AL83"/>
    <mergeCell ref="AO83:AP83"/>
    <mergeCell ref="B94:D94"/>
    <mergeCell ref="E94:M94"/>
    <mergeCell ref="AY82:BB82"/>
    <mergeCell ref="B91:D91"/>
    <mergeCell ref="B92:D92"/>
    <mergeCell ref="E92:I92"/>
    <mergeCell ref="K92:M92"/>
    <mergeCell ref="P92:R94"/>
    <mergeCell ref="N92:N94"/>
    <mergeCell ref="J88:M88"/>
    <mergeCell ref="P91:R91"/>
    <mergeCell ref="B89:D89"/>
    <mergeCell ref="K93:M93"/>
    <mergeCell ref="E89:M89"/>
    <mergeCell ref="A87:A89"/>
    <mergeCell ref="B87:D87"/>
    <mergeCell ref="E87:I87"/>
    <mergeCell ref="K87:M87"/>
    <mergeCell ref="N87:N89"/>
    <mergeCell ref="T84:T86"/>
    <mergeCell ref="I85:M85"/>
    <mergeCell ref="B86:D86"/>
    <mergeCell ref="E86:M86"/>
    <mergeCell ref="AC76:AD76"/>
    <mergeCell ref="AG76:AH76"/>
    <mergeCell ref="B83:D83"/>
    <mergeCell ref="K79:M79"/>
    <mergeCell ref="N84:N86"/>
    <mergeCell ref="O81:O83"/>
    <mergeCell ref="AA75:AD75"/>
    <mergeCell ref="BG75:BJ75"/>
    <mergeCell ref="W75:Z75"/>
    <mergeCell ref="AQ75:AT75"/>
    <mergeCell ref="AU75:AX75"/>
    <mergeCell ref="P84:R86"/>
    <mergeCell ref="Y83:Z83"/>
    <mergeCell ref="AC83:AD83"/>
    <mergeCell ref="AG83:AH83"/>
    <mergeCell ref="S81:S83"/>
    <mergeCell ref="AO76:AP76"/>
    <mergeCell ref="AK76:AL76"/>
    <mergeCell ref="O78:O80"/>
    <mergeCell ref="BG82:BJ82"/>
    <mergeCell ref="AS83:AT83"/>
    <mergeCell ref="BR80:BS80"/>
    <mergeCell ref="T78:T80"/>
    <mergeCell ref="AW83:AX83"/>
    <mergeCell ref="T81:T83"/>
    <mergeCell ref="P76:R76"/>
    <mergeCell ref="AS76:AT76"/>
    <mergeCell ref="E83:M83"/>
    <mergeCell ref="N78:N80"/>
    <mergeCell ref="I82:M82"/>
    <mergeCell ref="BR83:BS83"/>
    <mergeCell ref="BL80:BN80"/>
    <mergeCell ref="AA82:AD82"/>
    <mergeCell ref="BI76:BJ76"/>
    <mergeCell ref="AW76:AX76"/>
    <mergeCell ref="BE76:BF76"/>
    <mergeCell ref="BI83:BJ83"/>
    <mergeCell ref="A81:A83"/>
    <mergeCell ref="B81:D81"/>
    <mergeCell ref="E81:I81"/>
    <mergeCell ref="K81:M81"/>
    <mergeCell ref="P81:R83"/>
    <mergeCell ref="N81:N83"/>
    <mergeCell ref="BA83:BB83"/>
    <mergeCell ref="BE83:BF83"/>
    <mergeCell ref="AS69:AT69"/>
    <mergeCell ref="B80:D80"/>
    <mergeCell ref="E80:M80"/>
    <mergeCell ref="BA69:BB69"/>
    <mergeCell ref="BA76:BB76"/>
    <mergeCell ref="P73:R75"/>
    <mergeCell ref="N73:N75"/>
    <mergeCell ref="O73:O75"/>
    <mergeCell ref="U73:V73"/>
    <mergeCell ref="AY75:BB75"/>
    <mergeCell ref="P66:R68"/>
    <mergeCell ref="BI69:BJ69"/>
    <mergeCell ref="A78:A80"/>
    <mergeCell ref="B78:D78"/>
    <mergeCell ref="E78:I78"/>
    <mergeCell ref="K78:M78"/>
    <mergeCell ref="P78:R80"/>
    <mergeCell ref="BC75:BF75"/>
    <mergeCell ref="AI75:AL75"/>
    <mergeCell ref="AM75:AP75"/>
    <mergeCell ref="BG68:BJ68"/>
    <mergeCell ref="BC68:BF68"/>
    <mergeCell ref="AA68:AD68"/>
    <mergeCell ref="AW69:AX69"/>
    <mergeCell ref="AI68:AL68"/>
    <mergeCell ref="Y69:Z69"/>
    <mergeCell ref="AK69:AL69"/>
    <mergeCell ref="W68:Z68"/>
    <mergeCell ref="AO69:AP69"/>
    <mergeCell ref="BE69:BF69"/>
    <mergeCell ref="A66:A68"/>
    <mergeCell ref="B66:D66"/>
    <mergeCell ref="S78:S80"/>
    <mergeCell ref="U80:V80"/>
    <mergeCell ref="AE75:AH75"/>
    <mergeCell ref="AU68:AX68"/>
    <mergeCell ref="P72:R72"/>
    <mergeCell ref="T73:T75"/>
    <mergeCell ref="P77:R77"/>
    <mergeCell ref="Y76:Z76"/>
    <mergeCell ref="A73:A75"/>
    <mergeCell ref="B73:D73"/>
    <mergeCell ref="E73:I73"/>
    <mergeCell ref="K73:M73"/>
    <mergeCell ref="J74:M74"/>
    <mergeCell ref="B75:D75"/>
    <mergeCell ref="E75:M75"/>
    <mergeCell ref="E66:I66"/>
    <mergeCell ref="K66:M66"/>
    <mergeCell ref="BR66:BS66"/>
    <mergeCell ref="B68:D68"/>
    <mergeCell ref="E68:M68"/>
    <mergeCell ref="BL66:BN66"/>
    <mergeCell ref="S66:S68"/>
    <mergeCell ref="O66:O68"/>
    <mergeCell ref="AM68:AP68"/>
    <mergeCell ref="AY68:BB68"/>
    <mergeCell ref="BA62:BB62"/>
    <mergeCell ref="AS62:AT62"/>
    <mergeCell ref="P63:R65"/>
    <mergeCell ref="N63:N65"/>
    <mergeCell ref="AQ68:AT68"/>
    <mergeCell ref="T66:T68"/>
    <mergeCell ref="AE68:AH68"/>
    <mergeCell ref="AC62:AD62"/>
    <mergeCell ref="AG62:AH62"/>
    <mergeCell ref="P61:R62"/>
    <mergeCell ref="BE62:BF62"/>
    <mergeCell ref="BI62:BJ62"/>
    <mergeCell ref="BR63:BS63"/>
    <mergeCell ref="B65:D65"/>
    <mergeCell ref="E65:M65"/>
    <mergeCell ref="S63:S65"/>
    <mergeCell ref="T63:T65"/>
    <mergeCell ref="Y62:Z62"/>
    <mergeCell ref="AK62:AL62"/>
    <mergeCell ref="AO62:AP62"/>
    <mergeCell ref="BL59:BN59"/>
    <mergeCell ref="AY61:BB61"/>
    <mergeCell ref="BC61:BF61"/>
    <mergeCell ref="BG61:BJ61"/>
    <mergeCell ref="AA61:AD61"/>
    <mergeCell ref="AI61:AL61"/>
    <mergeCell ref="AM61:AP61"/>
    <mergeCell ref="AQ61:AT61"/>
    <mergeCell ref="A63:A65"/>
    <mergeCell ref="B63:D63"/>
    <mergeCell ref="E63:I63"/>
    <mergeCell ref="K63:M63"/>
    <mergeCell ref="I64:M64"/>
    <mergeCell ref="AU61:AX61"/>
    <mergeCell ref="A61:A62"/>
    <mergeCell ref="W61:Z61"/>
    <mergeCell ref="AW62:AX62"/>
    <mergeCell ref="P59:R60"/>
    <mergeCell ref="A54:A56"/>
    <mergeCell ref="B54:D54"/>
    <mergeCell ref="E54:I54"/>
    <mergeCell ref="J54:M54"/>
    <mergeCell ref="P54:R56"/>
    <mergeCell ref="O54:O56"/>
    <mergeCell ref="N54:N56"/>
    <mergeCell ref="B55:D56"/>
    <mergeCell ref="E55:I56"/>
    <mergeCell ref="BE55:BF55"/>
    <mergeCell ref="AU54:AX54"/>
    <mergeCell ref="AO55:AP55"/>
    <mergeCell ref="AQ54:AT54"/>
    <mergeCell ref="BS52:BU52"/>
    <mergeCell ref="AS55:AT55"/>
    <mergeCell ref="AW55:AX55"/>
    <mergeCell ref="BG54:BJ54"/>
    <mergeCell ref="BI55:BJ55"/>
    <mergeCell ref="BR51:BS51"/>
    <mergeCell ref="AC55:AD55"/>
    <mergeCell ref="AG55:AH55"/>
    <mergeCell ref="AK55:AL55"/>
    <mergeCell ref="AY54:BB54"/>
    <mergeCell ref="BC54:BF54"/>
    <mergeCell ref="AI54:AL54"/>
    <mergeCell ref="AM54:AP54"/>
    <mergeCell ref="BA55:BB55"/>
    <mergeCell ref="AA54:AD54"/>
    <mergeCell ref="B48:D48"/>
    <mergeCell ref="E48:I48"/>
    <mergeCell ref="K48:M48"/>
    <mergeCell ref="P48:R50"/>
    <mergeCell ref="N48:N50"/>
    <mergeCell ref="Y55:Z55"/>
    <mergeCell ref="T54:T56"/>
    <mergeCell ref="J55:M56"/>
    <mergeCell ref="S54:S56"/>
    <mergeCell ref="N51:N53"/>
    <mergeCell ref="BR46:BT46"/>
    <mergeCell ref="C49:D49"/>
    <mergeCell ref="B50:D50"/>
    <mergeCell ref="E50:M50"/>
    <mergeCell ref="O48:O50"/>
    <mergeCell ref="J46:M46"/>
    <mergeCell ref="B47:D47"/>
    <mergeCell ref="E47:M47"/>
    <mergeCell ref="T48:T50"/>
    <mergeCell ref="BS49:BU49"/>
    <mergeCell ref="B45:D45"/>
    <mergeCell ref="E45:I45"/>
    <mergeCell ref="K45:M45"/>
    <mergeCell ref="P45:R47"/>
    <mergeCell ref="N45:N47"/>
    <mergeCell ref="O45:O47"/>
    <mergeCell ref="A48:A50"/>
    <mergeCell ref="A42:A44"/>
    <mergeCell ref="B42:D42"/>
    <mergeCell ref="E42:I42"/>
    <mergeCell ref="K42:M42"/>
    <mergeCell ref="P42:R44"/>
    <mergeCell ref="O42:O44"/>
    <mergeCell ref="N42:N44"/>
    <mergeCell ref="K43:M43"/>
    <mergeCell ref="A45:A47"/>
    <mergeCell ref="BR30:BS30"/>
    <mergeCell ref="B32:D32"/>
    <mergeCell ref="E32:M32"/>
    <mergeCell ref="S30:S32"/>
    <mergeCell ref="O30:O32"/>
    <mergeCell ref="B44:D44"/>
    <mergeCell ref="E44:M44"/>
    <mergeCell ref="BR43:BT43"/>
    <mergeCell ref="T33:T34"/>
    <mergeCell ref="T42:T44"/>
    <mergeCell ref="S33:S34"/>
    <mergeCell ref="A30:A32"/>
    <mergeCell ref="B30:D30"/>
    <mergeCell ref="E30:I30"/>
    <mergeCell ref="K30:M30"/>
    <mergeCell ref="P30:R32"/>
    <mergeCell ref="N30:N32"/>
    <mergeCell ref="A33:A34"/>
    <mergeCell ref="J33:M34"/>
    <mergeCell ref="O33:O34"/>
    <mergeCell ref="T27:T29"/>
    <mergeCell ref="I28:M28"/>
    <mergeCell ref="BR27:BS27"/>
    <mergeCell ref="E29:M29"/>
    <mergeCell ref="BS28:BU28"/>
    <mergeCell ref="S27:S29"/>
    <mergeCell ref="O27:O29"/>
    <mergeCell ref="T30:T32"/>
    <mergeCell ref="P27:R29"/>
    <mergeCell ref="N27:N29"/>
    <mergeCell ref="T24:T26"/>
    <mergeCell ref="K25:M25"/>
    <mergeCell ref="B26:D26"/>
    <mergeCell ref="E26:M26"/>
    <mergeCell ref="K24:M24"/>
    <mergeCell ref="P24:R26"/>
    <mergeCell ref="N24:N26"/>
    <mergeCell ref="A27:A29"/>
    <mergeCell ref="B27:D27"/>
    <mergeCell ref="E27:I27"/>
    <mergeCell ref="K27:M27"/>
    <mergeCell ref="BR25:BT25"/>
    <mergeCell ref="S24:S26"/>
    <mergeCell ref="O24:O26"/>
    <mergeCell ref="A24:A26"/>
    <mergeCell ref="B24:D24"/>
    <mergeCell ref="E24:I24"/>
    <mergeCell ref="A21:A23"/>
    <mergeCell ref="B21:D21"/>
    <mergeCell ref="E21:I21"/>
    <mergeCell ref="K21:M21"/>
    <mergeCell ref="P21:R23"/>
    <mergeCell ref="N21:N23"/>
    <mergeCell ref="K22:M22"/>
    <mergeCell ref="B23:D23"/>
    <mergeCell ref="E23:M23"/>
    <mergeCell ref="K19:M19"/>
    <mergeCell ref="B20:D20"/>
    <mergeCell ref="E20:M20"/>
    <mergeCell ref="BR22:BT22"/>
    <mergeCell ref="S21:S23"/>
    <mergeCell ref="O21:O23"/>
    <mergeCell ref="T21:T23"/>
    <mergeCell ref="P18:R20"/>
    <mergeCell ref="U16:U17"/>
    <mergeCell ref="V16:X16"/>
    <mergeCell ref="Z16:AB16"/>
    <mergeCell ref="AD17:AE17"/>
    <mergeCell ref="N18:N20"/>
    <mergeCell ref="T18:T20"/>
    <mergeCell ref="P16:R17"/>
    <mergeCell ref="N16:N17"/>
    <mergeCell ref="T16:T17"/>
    <mergeCell ref="AC16:AE16"/>
    <mergeCell ref="A18:A20"/>
    <mergeCell ref="B18:D18"/>
    <mergeCell ref="E18:I18"/>
    <mergeCell ref="K18:M18"/>
    <mergeCell ref="E16:F16"/>
    <mergeCell ref="BR19:BT19"/>
    <mergeCell ref="S18:S20"/>
    <mergeCell ref="O18:O20"/>
    <mergeCell ref="V17:X17"/>
    <mergeCell ref="Z17:AB17"/>
    <mergeCell ref="J16:K16"/>
    <mergeCell ref="L16:M16"/>
    <mergeCell ref="O16:O17"/>
    <mergeCell ref="A16:A17"/>
    <mergeCell ref="B16:C17"/>
    <mergeCell ref="D16:D17"/>
    <mergeCell ref="H16:I16"/>
    <mergeCell ref="F17:I17"/>
    <mergeCell ref="J17:M17"/>
    <mergeCell ref="BS12:BU12"/>
    <mergeCell ref="Z15:AB15"/>
    <mergeCell ref="BR14:BS14"/>
    <mergeCell ref="P11:R13"/>
    <mergeCell ref="N11:N13"/>
    <mergeCell ref="L14:M14"/>
    <mergeCell ref="V15:X15"/>
    <mergeCell ref="J15:M15"/>
    <mergeCell ref="BP15:BQ15"/>
    <mergeCell ref="S11:S13"/>
    <mergeCell ref="O11:O13"/>
    <mergeCell ref="A14:A15"/>
    <mergeCell ref="B14:C15"/>
    <mergeCell ref="D14:D15"/>
    <mergeCell ref="H14:I14"/>
    <mergeCell ref="E14:F14"/>
    <mergeCell ref="F15:I15"/>
    <mergeCell ref="J14:K14"/>
    <mergeCell ref="A11:A13"/>
    <mergeCell ref="B11:D11"/>
    <mergeCell ref="Z14:AB14"/>
    <mergeCell ref="S14:S15"/>
    <mergeCell ref="O14:O15"/>
    <mergeCell ref="P14:R15"/>
    <mergeCell ref="U14:U15"/>
    <mergeCell ref="T14:T15"/>
    <mergeCell ref="E11:I11"/>
    <mergeCell ref="K11:M11"/>
    <mergeCell ref="C12:D12"/>
    <mergeCell ref="J12:M12"/>
    <mergeCell ref="B13:D13"/>
    <mergeCell ref="E13:M13"/>
    <mergeCell ref="BR7:BT7"/>
    <mergeCell ref="S5:S7"/>
    <mergeCell ref="O5:O7"/>
    <mergeCell ref="P5:R7"/>
    <mergeCell ref="N5:N7"/>
    <mergeCell ref="T5:T7"/>
    <mergeCell ref="A5:A7"/>
    <mergeCell ref="B5:D5"/>
    <mergeCell ref="E5:I5"/>
    <mergeCell ref="K5:M5"/>
    <mergeCell ref="A2:A4"/>
    <mergeCell ref="B2:D4"/>
    <mergeCell ref="E2:M2"/>
    <mergeCell ref="L6:M6"/>
    <mergeCell ref="B7:D7"/>
    <mergeCell ref="E7:M7"/>
    <mergeCell ref="P2:R4"/>
    <mergeCell ref="S2:S4"/>
    <mergeCell ref="T2:T4"/>
    <mergeCell ref="N2:N4"/>
    <mergeCell ref="O2:O4"/>
    <mergeCell ref="E3:I3"/>
    <mergeCell ref="J3:M4"/>
    <mergeCell ref="E4:I4"/>
    <mergeCell ref="BP13:BQ13"/>
    <mergeCell ref="S16:S17"/>
    <mergeCell ref="N14:N15"/>
    <mergeCell ref="T11:T13"/>
    <mergeCell ref="BR13:BS13"/>
    <mergeCell ref="BP14:BQ14"/>
    <mergeCell ref="BR15:BS15"/>
    <mergeCell ref="AC14:AE14"/>
    <mergeCell ref="AD15:AE15"/>
    <mergeCell ref="V14:X14"/>
  </mergeCells>
  <printOptions horizontalCentered="1"/>
  <pageMargins left="0.708661417322835" right="0.708661417322835" top="0.748031496062992" bottom="0.748031496062992" header="0.511811023622047" footer="0.551181102362205"/>
  <pageSetup horizontalDpi="600" verticalDpi="600" orientation="landscape" paperSize="9" r:id="rId4"/>
  <rowBreaks count="4" manualBreakCount="4">
    <brk id="17" max="14" man="1"/>
    <brk id="29" max="14" man="1"/>
    <brk id="72" max="14" man="1"/>
    <brk id="86" max="1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9.00390625" defaultRowHeight="14.25"/>
  <cols>
    <col min="1" max="1" width="21.625" style="86" customWidth="1"/>
    <col min="2" max="2" width="12.875" style="86" customWidth="1"/>
    <col min="3" max="22" width="5.625" style="86" customWidth="1"/>
    <col min="23" max="16384" width="9.00390625" style="86" customWidth="1"/>
  </cols>
  <sheetData>
    <row r="1" spans="1:13" ht="26.25">
      <c r="A1" s="1" t="s">
        <v>35</v>
      </c>
      <c r="L1" s="87"/>
      <c r="M1" s="87" t="s">
        <v>34</v>
      </c>
    </row>
    <row r="2" spans="1:22" ht="25.5">
      <c r="A2" s="88"/>
      <c r="B2" s="88"/>
      <c r="C2" s="589" t="s">
        <v>33</v>
      </c>
      <c r="D2" s="590"/>
      <c r="E2" s="590"/>
      <c r="F2" s="590"/>
      <c r="G2" s="590"/>
      <c r="H2" s="590"/>
      <c r="I2" s="590"/>
      <c r="J2" s="590"/>
      <c r="K2" s="590"/>
      <c r="L2" s="591"/>
      <c r="M2" s="589" t="s">
        <v>33</v>
      </c>
      <c r="N2" s="590"/>
      <c r="O2" s="590"/>
      <c r="P2" s="590"/>
      <c r="Q2" s="590"/>
      <c r="R2" s="590"/>
      <c r="S2" s="590"/>
      <c r="T2" s="590"/>
      <c r="U2" s="590"/>
      <c r="V2" s="591"/>
    </row>
    <row r="3" spans="1:22" ht="26.25">
      <c r="A3" s="2" t="s">
        <v>0</v>
      </c>
      <c r="B3" s="29" t="s">
        <v>1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</row>
    <row r="4" spans="1:22" ht="22.5">
      <c r="A4" s="4" t="s">
        <v>2</v>
      </c>
      <c r="B4" s="31">
        <f>IF('ตาราง ป 1'!N5="","",'ตาราง ป 1'!N5)</f>
        <v>4</v>
      </c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</row>
    <row r="5" spans="1:22" ht="22.5">
      <c r="A5" s="170" t="s">
        <v>162</v>
      </c>
      <c r="B5" s="31">
        <f>IF('ตาราง ป 1'!N8="","",'ตาราง ป 1'!N8)</f>
      </c>
      <c r="C5" s="91">
        <v>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22.5">
      <c r="A6" s="170" t="s">
        <v>163</v>
      </c>
      <c r="B6" s="31">
        <f>IF('ตาราง ป 1'!N9="","",'ตาราง ป 1'!N9)</f>
      </c>
      <c r="C6" s="91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ht="22.5">
      <c r="A7" s="170" t="s">
        <v>128</v>
      </c>
      <c r="B7" s="31">
        <f>IF('ตาราง ป 1'!N10="","",'ตาราง ป 1'!N10)</f>
      </c>
      <c r="C7" s="91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ht="22.5">
      <c r="A8" s="5" t="s">
        <v>3</v>
      </c>
      <c r="B8" s="32">
        <f>IF('ตาราง ป 1'!N11="","",'ตาราง ป 1'!N11)</f>
        <v>4</v>
      </c>
      <c r="C8" s="9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</row>
    <row r="9" spans="1:22" ht="22.5">
      <c r="A9" s="5" t="s">
        <v>4</v>
      </c>
      <c r="B9" s="32">
        <f>IF('ตาราง ป 1'!N14="","",'ตาราง ป 1'!N14)</f>
        <v>0</v>
      </c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22.5">
      <c r="A10" s="5" t="s">
        <v>5</v>
      </c>
      <c r="B10" s="32">
        <f>IF('ตาราง ป 1'!N16="","",'ตาราง ป 1'!N16)</f>
        <v>0</v>
      </c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22.5">
      <c r="A11" s="5" t="s">
        <v>6</v>
      </c>
      <c r="B11" s="32">
        <f>IF('ตาราง ป 1'!N18="","",'ตาราง ป 1'!N18)</f>
        <v>4</v>
      </c>
      <c r="C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22.5">
      <c r="A12" s="5" t="s">
        <v>7</v>
      </c>
      <c r="B12" s="32">
        <f>IF('ตาราง ป 1'!N21="","",'ตาราง ป 1'!N21)</f>
        <v>5</v>
      </c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22.5">
      <c r="A13" s="5" t="s">
        <v>8</v>
      </c>
      <c r="B13" s="32">
        <f>IF('ตาราง ป 1'!N24="","",'ตาราง ป 1'!N24)</f>
        <v>4</v>
      </c>
      <c r="C13" s="14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22.5">
      <c r="A14" s="5" t="s">
        <v>9</v>
      </c>
      <c r="B14" s="32">
        <f>IF('ตาราง ป 1'!N27="","",'ตาราง ป 1'!N27)</f>
        <v>4</v>
      </c>
      <c r="C14" s="14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22.5">
      <c r="A15" s="5" t="s">
        <v>10</v>
      </c>
      <c r="B15" s="32">
        <f>IF('ตาราง ป 1'!N30="","",'ตาราง ป 1'!N30)</f>
        <v>4</v>
      </c>
      <c r="C15" s="14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22.5">
      <c r="A16" s="171" t="s">
        <v>135</v>
      </c>
      <c r="B16" s="32">
        <f>IF('ตาราง ป 1'!N33="","",'ตาราง ป 1'!N33)</f>
      </c>
      <c r="C16" s="14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22.5">
      <c r="A17" s="171" t="s">
        <v>164</v>
      </c>
      <c r="B17" s="32">
        <f>IF('ตาราง ป 1'!N35="","",'ตาราง ป 1'!N35)</f>
      </c>
      <c r="C17" s="1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22.5">
      <c r="A18" s="171" t="s">
        <v>137</v>
      </c>
      <c r="B18" s="32">
        <f>IF('ตาราง ป 1'!N37="","",'ตาราง ป 1'!N37)</f>
      </c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22.5">
      <c r="A19" s="171" t="s">
        <v>138</v>
      </c>
      <c r="B19" s="32">
        <f>IF('ตาราง ป 1'!N39="","",'ตาราง ป 1'!N39)</f>
      </c>
      <c r="C19" s="14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22.5">
      <c r="A20" s="171" t="s">
        <v>139</v>
      </c>
      <c r="B20" s="32">
        <f>IF('ตาราง ป 1'!N41="","",'ตาราง ป 1'!N41)</f>
      </c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2.5">
      <c r="A21" s="7" t="s">
        <v>11</v>
      </c>
      <c r="B21" s="34">
        <f>IF('ตาราง ป 1'!N42="","",'ตาราง ป 1'!N42)</f>
        <v>5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22.5">
      <c r="A22" s="7" t="s">
        <v>12</v>
      </c>
      <c r="B22" s="34">
        <f>IF('ตาราง ป 1'!N45="","",'ตาราง ป 1'!N45)</f>
        <v>5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22.5">
      <c r="A23" s="8" t="s">
        <v>13</v>
      </c>
      <c r="B23" s="32">
        <f>IF('ตาราง ป 1'!N48="","",'ตาราง ป 1'!N48)</f>
        <v>5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22.5">
      <c r="A24" s="8" t="s">
        <v>14</v>
      </c>
      <c r="B24" s="32">
        <f>IF('ตาราง ป 1'!N51="","",'ตาราง ป 1'!N51)</f>
        <v>3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22.5">
      <c r="A25" s="8" t="s">
        <v>15</v>
      </c>
      <c r="B25" s="32">
        <f>IF('ตาราง ป 1'!N54="","",'ตาราง ป 1'!N54)</f>
        <v>5</v>
      </c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22.5">
      <c r="A26" s="172" t="s">
        <v>140</v>
      </c>
      <c r="B26" s="32">
        <f>IF('ตาราง ป 1'!N57="","",'ตาราง ป 1'!N57)</f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22.5">
      <c r="A27" s="172" t="s">
        <v>141</v>
      </c>
      <c r="B27" s="32">
        <f>IF('ตาราง ป 1'!N59="","",'ตาราง ป 1'!N59)</f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22.5">
      <c r="A28" s="172" t="s">
        <v>142</v>
      </c>
      <c r="B28" s="32">
        <f>IF('ตาราง ป 1'!N61="","",'ตาราง ป 1'!N61)</f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22.5">
      <c r="A29" s="9" t="s">
        <v>16</v>
      </c>
      <c r="B29" s="33">
        <f>IF('ตาราง ป 1'!N63="","",'ตาราง ป 1'!N63)</f>
        <v>4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22.5">
      <c r="A30" s="9" t="s">
        <v>17</v>
      </c>
      <c r="B30" s="33">
        <f>IF('ตาราง ป 1'!N66="","",'ตาราง ป 1'!N66)</f>
        <v>5</v>
      </c>
      <c r="C30" s="19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22.5">
      <c r="A31" s="173" t="s">
        <v>143</v>
      </c>
      <c r="B31" s="33">
        <f>IF('ตาราง ป 1'!N69="","",'ตาราง ป 1'!N69)</f>
      </c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22.5">
      <c r="A32" s="173" t="s">
        <v>144</v>
      </c>
      <c r="B32" s="33">
        <f>IF('ตาราง ป 1'!N70="","",'ตาราง ป 1'!N70)</f>
      </c>
      <c r="C32" s="19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22.5">
      <c r="A33" s="173" t="s">
        <v>161</v>
      </c>
      <c r="B33" s="33">
        <f>IF('ตาราง ป 1'!N71="","",'ตาราง ป 1'!N71)</f>
      </c>
      <c r="C33" s="19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22.5">
      <c r="A34" s="173" t="s">
        <v>160</v>
      </c>
      <c r="B34" s="33">
        <f>IF('ตาราง ป 1'!N72="","",'ตาราง ป 1'!N72)</f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22.5">
      <c r="A35" s="35" t="s">
        <v>18</v>
      </c>
      <c r="B35" s="36">
        <f>IF('ตาราง ป 1'!N73="","",'ตาราง ป 1'!N73)</f>
        <v>5</v>
      </c>
      <c r="C35" s="21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22.5">
      <c r="A36" s="174" t="s">
        <v>145</v>
      </c>
      <c r="B36" s="36">
        <f>IF('ตาราง ป 1'!N76="","",'ตาราง ป 1'!N76)</f>
      </c>
      <c r="C36" s="21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22.5">
      <c r="A37" s="174" t="s">
        <v>146</v>
      </c>
      <c r="B37" s="36">
        <f>IF('ตาราง ป 1'!N77="","",'ตาราง ป 1'!N77)</f>
      </c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ht="22.5">
      <c r="A38" s="10" t="s">
        <v>19</v>
      </c>
      <c r="B38" s="33">
        <f>IF('ตาราง ป 1'!N78="","",'ตาราง ป 1'!N78)</f>
        <v>4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22" ht="22.5">
      <c r="A39" s="10" t="s">
        <v>20</v>
      </c>
      <c r="B39" s="33">
        <f>IF('ตาราง ป 1'!N81="","",'ตาราง ป 1'!N81)</f>
        <v>5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22" ht="22.5">
      <c r="A40" s="10" t="s">
        <v>21</v>
      </c>
      <c r="B40" s="33">
        <f>IF('ตาราง ป 1'!N84="","",'ตาราง ป 1'!N84)</f>
        <v>5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22.5">
      <c r="A41" s="10" t="s">
        <v>22</v>
      </c>
      <c r="B41" s="33">
        <f>IF('ตาราง ป 1'!N87="","",'ตาราง ป 1'!N87)</f>
        <v>5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</row>
    <row r="42" spans="1:22" ht="22.5">
      <c r="A42" s="175" t="s">
        <v>147</v>
      </c>
      <c r="B42" s="33">
        <f>IF('ตาราง ป 1'!N90="","",'ตาราง ป 1'!N90)</f>
      </c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</row>
    <row r="43" spans="1:22" ht="22.5">
      <c r="A43" s="175" t="s">
        <v>148</v>
      </c>
      <c r="B43" s="33">
        <f>IF('ตาราง ป 1'!N91="","",'ตาราง ป 1'!N91)</f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22.5">
      <c r="A44" s="11" t="s">
        <v>23</v>
      </c>
      <c r="B44" s="36">
        <f>IF('ตาราง ป 1'!N92="","",'ตาราง ป 1'!N92)</f>
        <v>4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ht="22.5">
      <c r="A45" s="12" t="s">
        <v>24</v>
      </c>
      <c r="B45" s="33">
        <f>IF('ตาราง ป 1'!N95="","",'ตาราง ป 1'!N95)</f>
        <v>4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ht="22.5">
      <c r="A46" s="176" t="s">
        <v>149</v>
      </c>
      <c r="B46" s="187">
        <f>IF('ตาราง ป 1'!N99="","",'ตาราง ป 1'!N99)</f>
        <v>4.043478260869565</v>
      </c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ht="22.5">
      <c r="A47" s="8" t="s">
        <v>25</v>
      </c>
      <c r="B47" s="36">
        <f>IF('ตาราง ป 1'!N103="","",'ตาราง ป 1'!N103)</f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22.5">
      <c r="A48" s="6" t="s">
        <v>26</v>
      </c>
      <c r="B48" s="36">
        <f>IF('ตาราง ป 1'!N104="","",'ตาราง ป 1'!N104)</f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</row>
    <row r="49" spans="1:22" ht="26.25">
      <c r="A49" s="177" t="s">
        <v>27</v>
      </c>
      <c r="B49" s="89">
        <f>IF((COUNTIF(B4,"Error")+COUNTIF(B8:B15,"Error")+COUNTIF(B21:B25,"Error")+COUNTIF(B29:B30,"Error")+COUNTIF(B35,"Error")+COUNTIF(B38:B41,"Error")+COUNTIF(B44:B45,"Error"))&gt;0,"Error",IF(COUNT(B4,B8:B15,B21:B25,B29:B30,B35,B38:B41,B44:B45)=0,"",SUM(B4,B8:B15,B21:B25,B29:B30,B35,B38:B41,B44:B45)/IF(COUNT(B4,B8:B15,B21:B25,B29:B30,B35,B38:B41,B44:B45)=0,1,COUNT(B4,B8:B15,B21:B25,B29:B30,B35,B38:B41,B44:B45))))</f>
        <v>4.043478260869565</v>
      </c>
      <c r="C49" s="592" t="s">
        <v>31</v>
      </c>
      <c r="D49" s="587"/>
      <c r="E49" s="587"/>
      <c r="F49" s="587"/>
      <c r="G49" s="587"/>
      <c r="H49" s="587"/>
      <c r="I49" s="587"/>
      <c r="J49" s="583">
        <f>IF((COUNTIF(B4:V4,"Error")+COUNTIF(B8:V15,"Error")+COUNTIF(B21:V25,"Error")+COUNTIF(B29:V30,"Error")+COUNTIF(B35:V35,"Error")+COUNTIF(B38:V41,"Error")+COUNTIF(B44:V45,"Error"))&gt;0,"Error",IF(COUNT(B4:V4,B8:V15,B21:V25,B29:V30,B35:V35,B38:V41,B44:V45)=0,"",SUM(B4:V4,B8:V15,B21:V25,B29:V30,B35:V35,B38:V41,B44:V45)/IF(COUNT(B4:V4,B8:V15,B21:V25,B29:V30,B35:V35,B38:V41,B44:V45)=0,1,COUNT(B4:V4,B8:V15,B21:V25,B29:V30,B35:V35,B38:V41,B44:V45))))</f>
        <v>4.043478260869565</v>
      </c>
      <c r="K49" s="584"/>
      <c r="L49" s="585"/>
      <c r="M49" s="586" t="s">
        <v>31</v>
      </c>
      <c r="N49" s="587"/>
      <c r="O49" s="587"/>
      <c r="P49" s="587"/>
      <c r="Q49" s="587"/>
      <c r="R49" s="587"/>
      <c r="S49" s="588"/>
      <c r="T49" s="583">
        <f>IF((COUNTIF(B4:V4,"Error")+COUNTIF(B8:V15,"Error")+COUNTIF(B21:V25,"Error")+COUNTIF(B29:V30,"Error")+COUNTIF(B35:V35,"Error")+COUNTIF(B38:V41,"Error")+COUNTIF(B44:V45,"Error"))&gt;0,"Error",IF(COUNT(B4:V4,B8:V15,B21:V25,B29:V30,B35:V35,B38:V41,B44:V45)=0,"",SUM(B4:V4,B8:V15,B21:V25,B29:V30,B35:V35,B38:V41,B44:V45)/IF(COUNT(B4:V4,B8:V15,B21:V25,B29:V30,B35:V35,B38:V41,B44:V45)=0,1,COUNT(B4:V4,B8:V15,B21:V25,B29:V30,B35:V35,B38:V41,B44:V45))))</f>
        <v>4.043478260869565</v>
      </c>
      <c r="U49" s="584"/>
      <c r="V49" s="585"/>
    </row>
    <row r="50" spans="1:22" ht="26.25">
      <c r="A50" s="90" t="s">
        <v>28</v>
      </c>
      <c r="B50" s="178">
        <f>IF((COUNTIF(B4,"Error")+COUNTIF(B8:B15,"Error")+COUNTIF(B21:B25,"Error")+COUNTIF(B29:B30,"Error")+COUNTIF(B35,"Error")+COUNTIF(B38:B41,"Error")+COUNTIF(B44:B45,"Error")+COUNTIF(B47:B48,"Error"))&gt;0,"Error",IF(COUNT(B4,B8:B15,B21:B25,B29:B30,B35,B38:B41,B44:B45,B47:B48)=0,"",SUM(B4,B8:B15,B21:B25,B29:B30,B35,B38:B41,B44:B45,B47:B48)/IF(COUNT(B4,B8:B15,B21:B25,B29:B30,B35,B38:B41,B44:B45,B47:B48)=0,1,COUNT(B4,B8:B15,B21:B25,B29:B30,B35,B38:B41,B44:B45,B47:B48))))</f>
        <v>4.043478260869565</v>
      </c>
      <c r="C50" s="599" t="s">
        <v>165</v>
      </c>
      <c r="D50" s="600"/>
      <c r="E50" s="600"/>
      <c r="F50" s="600"/>
      <c r="G50" s="600"/>
      <c r="H50" s="600"/>
      <c r="I50" s="601"/>
      <c r="J50" s="602">
        <f>IF((COUNTIF(B4:V4,"Error")+COUNTIF(B8:V15,"Error")+COUNTIF(B21:V25,"Error")+COUNTIF(B29:V30,"Error")+COUNTIF(B35:V35,"Error")+COUNTIF(B38:V41,"Error")+COUNTIF(B44:V45,"Error")+COUNTIF(B47:V48,"Error"))&gt;0,"Error",IF(COUNT(B4:V4,B8:V15,B21:V25,B29:V30,B35:V35,B38:V41,B44:V45,B47:V48)=0,"",SUM(B4:V4,B8:V15,B21:V25,B29:V30,B35:V35,B38:V41,B44:V45,B47:V48)/IF(COUNT(B4:V4,B8:V15,B21:V25,B29:V30,B35:V35,B38:V41,B44:V45,B47:V48)=0,1,COUNT(B4:V4,B8:V15,B21:V25,B29:V30,B35:V35,B38:V41,B44:V45,B47:V48))))</f>
        <v>4.043478260869565</v>
      </c>
      <c r="K50" s="603"/>
      <c r="L50" s="604"/>
      <c r="M50" s="599" t="s">
        <v>165</v>
      </c>
      <c r="N50" s="600"/>
      <c r="O50" s="600"/>
      <c r="P50" s="600"/>
      <c r="Q50" s="600"/>
      <c r="R50" s="600"/>
      <c r="S50" s="601"/>
      <c r="T50" s="602">
        <f>IF((COUNTIF(B4:V4,"Error")+COUNTIF(B8:V15,"Error")+COUNTIF(B21:V25,"Error")+COUNTIF(B29:V30,"Error")+COUNTIF(B35:V35,"Error")+COUNTIF(B38:V41,"Error")+COUNTIF(B44:V45,"Error")+COUNTIF(B47:V48,"Error"))&gt;0,"Error",IF(COUNT(B4:V4,B8:V15,B21:V25,B29:V30,B35:V35,B38:V41,B44:V45,B47:V48)=0,"",SUM(B4:V4,B8:V15,B21:V25,B29:V30,B35:V35,B38:V41,B44:V45,B47:V48)/IF(COUNT(B4:V4,B8:V15,B21:V25,B29:V30,B35:V35,B38:V41,B44:V45,B47:V48)=0,1,COUNT(B4:V4,B8:V15,B21:V25,B29:V30,B35:V35,B38:V41,B44:V45,B47:V48))))</f>
        <v>4.043478260869565</v>
      </c>
      <c r="U50" s="603"/>
      <c r="V50" s="604"/>
    </row>
    <row r="51" spans="1:22" ht="26.25">
      <c r="A51" s="179" t="s">
        <v>166</v>
      </c>
      <c r="B51" s="180">
        <f>IF(COUNTIF(B4:B45,"Error")&gt;0,"Error",IF(COUNT(B4:B45)=0,"",SUM(B4:B45)/IF(COUNT(B4:B45)=0,1,COUNT(B4:B45))))</f>
        <v>4.043478260869565</v>
      </c>
      <c r="C51" s="593" t="s">
        <v>167</v>
      </c>
      <c r="D51" s="594"/>
      <c r="E51" s="594"/>
      <c r="F51" s="594"/>
      <c r="G51" s="594"/>
      <c r="H51" s="594"/>
      <c r="I51" s="595"/>
      <c r="J51" s="596">
        <f>IF(COUNTIF(B4:V45,"Error")&gt;0,"Error",IF(COUNT(B4:V45)=0,"",SUM(B4:V45)/IF(COUNT(B4:V45)=0,1,COUNT(B4:V45))))</f>
        <v>4.083333333333333</v>
      </c>
      <c r="K51" s="597"/>
      <c r="L51" s="598"/>
      <c r="M51" s="593" t="s">
        <v>167</v>
      </c>
      <c r="N51" s="594"/>
      <c r="O51" s="594"/>
      <c r="P51" s="594"/>
      <c r="Q51" s="594"/>
      <c r="R51" s="594"/>
      <c r="S51" s="595"/>
      <c r="T51" s="596">
        <f>IF(COUNTIF(B4:V45,"Error")&gt;0,"Error",IF(COUNT(B4:V45)=0,"",SUM(B4:V45)/IF(COUNT(B4:V45)=0,1,COUNT(B4:V45))))</f>
        <v>4.083333333333333</v>
      </c>
      <c r="U51" s="597"/>
      <c r="V51" s="598"/>
    </row>
    <row r="60" spans="1:2" ht="14.25">
      <c r="A60" s="181" t="s">
        <v>168</v>
      </c>
      <c r="B60" s="182">
        <f>IF((COUNTIF(B4,"Error")+COUNTIF(B8:B15,"Error")+COUNTIF(B21:B25,"Error")+COUNTIF(B29:B30,"Error")+COUNTIF(B35,"Error")+COUNTIF(B38:B41,"Error")+COUNTIF(B44:B45,"Error"))&gt;0,"Error",COUNT(B4,B8:B15,B21:B25,B29:B30,B35,B38:B41,B44:B45))</f>
        <v>23</v>
      </c>
    </row>
    <row r="61" spans="1:2" ht="14.25">
      <c r="A61" s="183" t="s">
        <v>169</v>
      </c>
      <c r="B61" s="184">
        <f>IF((COUNTIF(B5:B7,"Error")+COUNTIF(B16:B20,"Error")+COUNTIF(B26:B28,"Error")+COUNTIF(B31:B34,"Error")+COUNTIF(B36:B37,"Error")+COUNTIF(B42:B43,"Error"))&gt;0,"Error",COUNT(B5:B7,B16:B20,B26:B28,B31:B34,B36:B37,B42:B43))</f>
        <v>0</v>
      </c>
    </row>
    <row r="62" spans="1:2" ht="14.25">
      <c r="A62" s="185" t="s">
        <v>170</v>
      </c>
      <c r="B62" s="186">
        <f>IF(COUNTIF(C4:V45,"Error")&gt;0,"Error",COUNT(C4:V45))</f>
        <v>1</v>
      </c>
    </row>
  </sheetData>
  <sheetProtection password="CC53" sheet="1"/>
  <mergeCells count="14">
    <mergeCell ref="C51:I51"/>
    <mergeCell ref="J51:L51"/>
    <mergeCell ref="M51:S51"/>
    <mergeCell ref="T51:V51"/>
    <mergeCell ref="C50:I50"/>
    <mergeCell ref="J50:L50"/>
    <mergeCell ref="M50:S50"/>
    <mergeCell ref="T50:V50"/>
    <mergeCell ref="T49:V49"/>
    <mergeCell ref="M49:S49"/>
    <mergeCell ref="M2:V2"/>
    <mergeCell ref="C2:L2"/>
    <mergeCell ref="J49:L49"/>
    <mergeCell ref="C49:I49"/>
  </mergeCells>
  <printOptions horizontalCentered="1" verticalCentered="1"/>
  <pageMargins left="0.7" right="0.7" top="1" bottom="0.75" header="0.55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4">
      <selection activeCell="F14" sqref="F14"/>
    </sheetView>
  </sheetViews>
  <sheetFormatPr defaultColWidth="9.00390625" defaultRowHeight="14.25"/>
  <cols>
    <col min="1" max="1" width="18.25390625" style="30" customWidth="1"/>
    <col min="2" max="5" width="9.25390625" style="30" customWidth="1"/>
    <col min="6" max="6" width="30.50390625" style="30" customWidth="1"/>
    <col min="7" max="7" width="30.25390625" style="30" customWidth="1"/>
    <col min="8" max="16384" width="9.00390625" style="30" customWidth="1"/>
  </cols>
  <sheetData>
    <row r="1" ht="25.5" customHeight="1">
      <c r="A1" s="110" t="s">
        <v>153</v>
      </c>
    </row>
    <row r="2" spans="1:7" ht="22.5">
      <c r="A2" s="607" t="s">
        <v>93</v>
      </c>
      <c r="B2" s="607" t="s">
        <v>81</v>
      </c>
      <c r="C2" s="607"/>
      <c r="D2" s="607"/>
      <c r="E2" s="607"/>
      <c r="F2" s="198" t="s">
        <v>29</v>
      </c>
      <c r="G2" s="607" t="s">
        <v>82</v>
      </c>
    </row>
    <row r="3" spans="1:7" ht="12" customHeight="1">
      <c r="A3" s="607"/>
      <c r="B3" s="607"/>
      <c r="C3" s="607"/>
      <c r="D3" s="607"/>
      <c r="E3" s="607"/>
      <c r="F3" s="189" t="s">
        <v>98</v>
      </c>
      <c r="G3" s="607"/>
    </row>
    <row r="4" spans="1:7" ht="12" customHeight="1">
      <c r="A4" s="607"/>
      <c r="B4" s="607"/>
      <c r="C4" s="607"/>
      <c r="D4" s="607"/>
      <c r="E4" s="607"/>
      <c r="F4" s="189" t="s">
        <v>99</v>
      </c>
      <c r="G4" s="607"/>
    </row>
    <row r="5" spans="1:7" ht="12" customHeight="1">
      <c r="A5" s="607"/>
      <c r="B5" s="607" t="s">
        <v>94</v>
      </c>
      <c r="C5" s="607" t="s">
        <v>95</v>
      </c>
      <c r="D5" s="607" t="s">
        <v>96</v>
      </c>
      <c r="E5" s="607" t="s">
        <v>30</v>
      </c>
      <c r="F5" s="189" t="s">
        <v>100</v>
      </c>
      <c r="G5" s="607"/>
    </row>
    <row r="6" spans="1:7" ht="12" customHeight="1">
      <c r="A6" s="607"/>
      <c r="B6" s="607"/>
      <c r="C6" s="607"/>
      <c r="D6" s="607"/>
      <c r="E6" s="607"/>
      <c r="F6" s="189" t="s">
        <v>178</v>
      </c>
      <c r="G6" s="607"/>
    </row>
    <row r="7" spans="1:7" ht="12" customHeight="1">
      <c r="A7" s="607"/>
      <c r="B7" s="607"/>
      <c r="C7" s="607"/>
      <c r="D7" s="607"/>
      <c r="E7" s="607"/>
      <c r="F7" s="190" t="s">
        <v>101</v>
      </c>
      <c r="G7" s="607"/>
    </row>
    <row r="8" spans="1:7" ht="22.5" customHeight="1">
      <c r="A8" s="201" t="s">
        <v>83</v>
      </c>
      <c r="B8" s="202" t="str">
        <f>IF(COUNTIF(คะแนน!B4,"Error")&gt;0,"Error",IF(OR(คะแนน!B60=0,COUNT(คะแนน!B4)=0),"","-"))</f>
        <v>-</v>
      </c>
      <c r="C8" s="202">
        <f>IF(COUNTIF(คะแนน!B4,"Error")&gt;0,"Error",IF(OR(คะแนน!B60=0,COUNT(คะแนน!B4)=0),"",คะแนน!B4))</f>
        <v>4</v>
      </c>
      <c r="D8" s="202"/>
      <c r="E8" s="202">
        <f>IF(COUNTIF(B8:D8,"Error")&gt;0,"Error",IF(COUNT(B8:D8)=0,"",SUM(คะแนน!B4)/IF(COUNT(คะแนน!B4)=0,1,COUNT(คะแนน!B4))))</f>
        <v>4</v>
      </c>
      <c r="F8" s="201" t="str">
        <f>IF(E8="","",IF(E8&lt;=1.5,"การดำเนินงานต้องปรับปรุงเร่งด่วน",IF(E8&lt;=2.5,"การดำเนินงานต้องปรับปรุง",IF(E8&lt;=3.5,"การดำเนินงานระดับพอใช้",IF(E8&lt;=4.5,"การดำเนินงานระดับดี",IF(E8&lt;=5,"การดำเนินงานระดับดีมาก","ข้อมูลผิด"))))))</f>
        <v>การดำเนินงานระดับดี</v>
      </c>
      <c r="G8" s="201"/>
    </row>
    <row r="9" spans="1:7" ht="22.5" customHeight="1">
      <c r="A9" s="201" t="s">
        <v>84</v>
      </c>
      <c r="B9" s="202">
        <f>IF((COUNTIF(คะแนน!B9:B10,"Error")+COUNTIF(คะแนน!B12,"Error"))&gt;0,"Error",IF(OR(คะแนน!B60=0,COUNT(คะแนน!B9:B10,คะแนน!B12)=0),"",SUM(คะแนน!B9:B10,คะแนน!B12)/IF(COUNT(คะแนน!B9:B10,คะแนน!B12)=0,1,COUNT(คะแนน!B9:B10,คะแนน!B12))))</f>
        <v>1.6666666666666667</v>
      </c>
      <c r="C9" s="202">
        <f>IF((COUNTIF(คะแนน!B8,"Error")+COUNTIF(คะแนน!B11,"Error")+COUNTIF(คะแนน!B13:B14,"Error"))&gt;0,"Error",IF(OR(คะแนน!B60=0,COUNT(คะแนน!B8,คะแนน!B11,คะแนน!B13:B14)=0),"",SUM(คะแนน!B8,คะแนน!B11,คะแนน!B13:B14)/IF(COUNT(คะแนน!B8,คะแนน!B11,คะแนน!B13:B14)=0,1,COUNT(คะแนน!B8,คะแนน!B11,คะแนน!B13:B14))))</f>
        <v>4</v>
      </c>
      <c r="D9" s="202">
        <f>IF(COUNTIF(คะแนน!B15,"Error")&gt;0,"Error",IF(OR(คะแนน!B60=0,COUNT(คะแนน!B15)=0),"",คะแนน!B15))</f>
        <v>4</v>
      </c>
      <c r="E9" s="202">
        <f>IF(COUNTIF(B9:D9,"Error")&gt;0,"Error",IF(COUNT(B9:D9)=0,"",SUM(คะแนน!B8:B15)/IF(COUNT(คะแนน!B8:B15)=0,1,COUNT(คะแนน!B8:B15))))</f>
        <v>3.125</v>
      </c>
      <c r="F9" s="201" t="str">
        <f aca="true" t="shared" si="0" ref="F9:F17">IF(E9="","",IF(E9&lt;=1.5,"การดำเนินงานต้องปรับปรุงเร่งด่วน",IF(E9&lt;=2.5,"การดำเนินงานต้องปรับปรุง",IF(E9&lt;=3.5,"การดำเนินงานระดับพอใช้",IF(E9&lt;=4.5,"การดำเนินงานระดับดี",IF(E9&lt;=5,"การดำเนินงานระดับดีมาก","ข้อมูลผิด"))))))</f>
        <v>การดำเนินงานระดับพอใช้</v>
      </c>
      <c r="G9" s="201"/>
    </row>
    <row r="10" spans="1:7" ht="22.5" customHeight="1">
      <c r="A10" s="201" t="s">
        <v>85</v>
      </c>
      <c r="B10" s="202" t="str">
        <f>IF(COUNTIF(คะแนน!B21:B22,"Error")&gt;0,"Error",IF(OR(คะแนน!B60=0,COUNT(คะแนน!B21:B22)=0),"","-"))</f>
        <v>-</v>
      </c>
      <c r="C10" s="202">
        <f>IF(COUNTIF(คะแนน!B21:B22,"Error")&gt;0,"Error",IF(OR(คะแนน!B60=0,COUNT(คะแนน!B21:B22)=0),"",SUM(คะแนน!B21:B22)/IF(COUNT(คะแนน!B21:B22)=0,1,COUNT(คะแนน!B21:B22))))</f>
        <v>5</v>
      </c>
      <c r="D10" s="202" t="str">
        <f>IF(COUNTIF(คะแนน!B21:B22,"Error")&gt;0,"Error",IF(OR(คะแนน!B60=0,COUNT(คะแนน!B21:B22)=0),"","-"))</f>
        <v>-</v>
      </c>
      <c r="E10" s="202">
        <f>IF(COUNTIF(B10:D10,"Error")&gt;0,"Error",IF(COUNT(B10:D10)=0,"",SUM(คะแนน!B21:B22)/IF(COUNT(คะแนน!B21:B22)=0,1,COUNT(คะแนน!B21:B22))))</f>
        <v>5</v>
      </c>
      <c r="F10" s="201" t="str">
        <f t="shared" si="0"/>
        <v>การดำเนินงานระดับดีมาก</v>
      </c>
      <c r="G10" s="201"/>
    </row>
    <row r="11" spans="1:7" ht="22.5" customHeight="1">
      <c r="A11" s="201" t="s">
        <v>86</v>
      </c>
      <c r="B11" s="202">
        <f>IF(OR(คะแนน!B60=0,COUNT(คะแนน!B25)=0),"",คะแนน!B25)</f>
        <v>5</v>
      </c>
      <c r="C11" s="202">
        <f>IF(COUNTIF(คะแนน!B23:B24,"Error")&gt;0,"Error",IF(OR(คะแนน!B60=0,COUNT(คะแนน!B23:B24)=0),"",SUM(คะแนน!B23:B24)/IF(COUNT(คะแนน!B23:B24)=0,1,COUNT(คะแนน!B23:B24))))</f>
        <v>4</v>
      </c>
      <c r="D11" s="202"/>
      <c r="E11" s="202">
        <f>IF(COUNTIF(B11:D11,"Error")&gt;0,"Error",IF(COUNT(B11:D11)=0,"",SUM(คะแนน!B23:B25)/IF(COUNT(คะแนน!B23:B25)=0,1,COUNT(คะแนน!B23:B25))))</f>
        <v>4.333333333333333</v>
      </c>
      <c r="F11" s="201" t="str">
        <f t="shared" si="0"/>
        <v>การดำเนินงานระดับดี</v>
      </c>
      <c r="G11" s="201"/>
    </row>
    <row r="12" spans="1:7" ht="22.5" customHeight="1">
      <c r="A12" s="201" t="s">
        <v>87</v>
      </c>
      <c r="B12" s="202" t="str">
        <f>IF(COUNTIF(คะแนน!B29:B30,"Error")&gt;0,"Error",IF(OR(คะแนน!B60=0,COUNT(คะแนน!B29:B30)=0),"","-"))</f>
        <v>-</v>
      </c>
      <c r="C12" s="202">
        <f>IF(COUNTIF(คะแนน!B29:B30,"Error")&gt;0,"Error",IF(OR(คะแนน!B60=0,COUNT(คะแนน!B29:B30)=0),"",SUM(คะแนน!B29:B30)/IF(COUNT(คะแนน!B29:B30)=0,1,COUNT(คะแนน!B29:B30))))</f>
        <v>4.5</v>
      </c>
      <c r="D12" s="202"/>
      <c r="E12" s="202">
        <f>IF(COUNTIF(B12:D12,"Error")&gt;0,"Error",IF(COUNT(B12:D12)=0,"",SUM(คะแนน!B29:B30)/IF(COUNT(คะแนน!B29:B30)=0,1,COUNT(คะแนน!B29:B30))))</f>
        <v>4.5</v>
      </c>
      <c r="F12" s="201" t="str">
        <f t="shared" si="0"/>
        <v>การดำเนินงานระดับดี</v>
      </c>
      <c r="G12" s="201"/>
    </row>
    <row r="13" spans="1:7" ht="22.5" customHeight="1">
      <c r="A13" s="201" t="s">
        <v>88</v>
      </c>
      <c r="B13" s="202" t="str">
        <f>IF(COUNTIF(คะแนน!B35,"Error")&gt;0,"Error",IF(OR(คะแนน!B60=0,COUNT(คะแนน!B35)=0),"","-"))</f>
        <v>-</v>
      </c>
      <c r="C13" s="202">
        <f>IF(OR(คะแนน!B60=0,COUNT(คะแนน!B35)=0),"",คะแนน!B35)</f>
        <v>5</v>
      </c>
      <c r="D13" s="202"/>
      <c r="E13" s="202">
        <f>IF(COUNTIF(B13:D13,"Error")&gt;0,"Error",IF(COUNT(B13:D13)=0,"",SUM(คะแนน!B35)/IF(COUNT(คะแนน!B35)=0,1,COUNT(คะแนน!B35))))</f>
        <v>5</v>
      </c>
      <c r="F13" s="201" t="str">
        <f t="shared" si="0"/>
        <v>การดำเนินงานระดับดีมาก</v>
      </c>
      <c r="G13" s="201"/>
    </row>
    <row r="14" spans="1:7" ht="22.5" customHeight="1">
      <c r="A14" s="201" t="s">
        <v>89</v>
      </c>
      <c r="B14" s="202" t="str">
        <f>IF(COUNTIF(คะแนน!B38:B41,"Error")&gt;0,"Error",IF(OR(คะแนน!B60=0,COUNT(คะแนน!B38:B41)=0),"","-"))</f>
        <v>-</v>
      </c>
      <c r="C14" s="202">
        <f>IF(COUNTIF(คะแนน!B38:B41,"Error")&gt;0,"Error",IF(OR(คะแนน!B60=0,COUNT(คะแนน!B38:B41)=0),"",SUM(คะแนน!B38:B41)/IF(COUNT(คะแนน!B38:B41)=0,1,COUNT(คะแนน!B38:B41))))</f>
        <v>4.75</v>
      </c>
      <c r="D14" s="202"/>
      <c r="E14" s="202">
        <f>IF(COUNTIF(B14:D14,"Error")&gt;0,"Error",IF(COUNT(B14:D14)=0,"",SUM(คะแนน!B38:B41)/IF(COUNT(คะแนน!B38:B41)=0,1,COUNT(คะแนน!B38:B41))))</f>
        <v>4.75</v>
      </c>
      <c r="F14" s="201" t="str">
        <f t="shared" si="0"/>
        <v>การดำเนินงานระดับดีมาก</v>
      </c>
      <c r="G14" s="201"/>
    </row>
    <row r="15" spans="1:7" ht="22.5" customHeight="1">
      <c r="A15" s="201" t="s">
        <v>90</v>
      </c>
      <c r="B15" s="202" t="str">
        <f>IF(COUNTIF(คะแนน!B44,"Error")&gt;0,"Error",IF(OR(คะแนน!B60=0,COUNT(คะแนน!B44)=0),"","-"))</f>
        <v>-</v>
      </c>
      <c r="C15" s="202">
        <f>IF(OR(คะแนน!B60=0,COUNT(คะแนน!B44)=0),"",คะแนน!B44)</f>
        <v>4</v>
      </c>
      <c r="D15" s="202" t="str">
        <f>IF(COUNTIF(คะแนน!B44,"Error")&gt;0,"Error",IF(OR(คะแนน!B60=0,COUNT(คะแนน!B44)=0),"","-"))</f>
        <v>-</v>
      </c>
      <c r="E15" s="202">
        <f>IF(COUNTIF(B15:D15,"Error")&gt;0,"Error",IF(COUNT(B15:D15)=0,"",SUM(คะแนน!B44)/IF(COUNT(คะแนน!B44)=0,1,COUNT(คะแนน!B44))))</f>
        <v>4</v>
      </c>
      <c r="F15" s="201" t="str">
        <f t="shared" si="0"/>
        <v>การดำเนินงานระดับดี</v>
      </c>
      <c r="G15" s="201"/>
    </row>
    <row r="16" spans="1:7" ht="22.5" customHeight="1">
      <c r="A16" s="201" t="s">
        <v>91</v>
      </c>
      <c r="B16" s="202" t="str">
        <f>IF(COUNTIF(คะแนน!B45,"Error")&gt;0,"Error",IF(OR(คะแนน!B60=0,COUNT(คะแนน!B45)=0),"","-"))</f>
        <v>-</v>
      </c>
      <c r="C16" s="202">
        <f>IF(OR(คะแนน!B60=0,COUNT(คะแนน!B45)=0),"",คะแนน!B45)</f>
        <v>4</v>
      </c>
      <c r="D16" s="202"/>
      <c r="E16" s="202">
        <f>IF(COUNTIF(B16:D16,"Error")&gt;0,"Error",IF(COUNT(B16:D16)=0,"",SUM(คะแนน!B45)/IF(COUNT(คะแนน!B45)=0,1,COUNT(คะแนน!B45))))</f>
        <v>4</v>
      </c>
      <c r="F16" s="201" t="str">
        <f t="shared" si="0"/>
        <v>การดำเนินงานระดับดี</v>
      </c>
      <c r="G16" s="201" t="s">
        <v>92</v>
      </c>
    </row>
    <row r="17" spans="1:7" ht="45">
      <c r="A17" s="168" t="s">
        <v>97</v>
      </c>
      <c r="B17" s="202">
        <f>IF(COUNTIF(B8:B16,"Error")&gt;0,"Error",IF(COUNT(B8:B16)=0,"",SUM(คะแนน!B9:B10,คะแนน!B12,คะแนน!B25)/IF(COUNT(คะแนน!B9:B10,คะแนน!B12,คะแนน!B25)=0,1,COUNT(คะแนน!B9:B10,คะแนน!B12,คะแนน!B25))))</f>
        <v>2.5</v>
      </c>
      <c r="C17" s="202">
        <f>IF(COUNTIF(C8:C16,"Error")&gt;0,"Error",IF(COUNT(C8:C16)=0,"",SUM(คะแนน!B4,คะแนน!B8,คะแนน!B11,คะแนน!B13:B14,คะแนน!B21:B24,คะแนน!B29:B30,คะแนน!B35,คะแนน!B38:B41,คะแนน!B44:B45)/IF(COUNT(คะแนน!B4,คะแนน!B8,คะแนน!B11,คะแนน!B13:B14,คะแนน!B21:B24,คะแนน!B29:B30,คะแนน!B35,คะแนน!B38:B41,คะแนน!B44:B45)=0,1,COUNT(คะแนน!B4,คะแนน!B8,คะแนน!B11,คะแนน!B13:B14,คะแนน!B21:B24,คะแนน!B29:B30,คะแนน!B35,คะแนน!B38:B41,คะแนน!B44:B45))))</f>
        <v>4.388888888888889</v>
      </c>
      <c r="D17" s="202">
        <f>IF(COUNTIF(D8:D16,"Error")&gt;0,"Error",IF(COUNT(D8:D16)=0,"",SUM(คะแนน!B15)/IF(COUNT(คะแนน!B15)=0,1,COUNT(คะแนน!B15))))</f>
        <v>4</v>
      </c>
      <c r="E17" s="202">
        <f>IF(COUNTIF(E8:E16,"Error")&gt;0,"Error",IF(COUNT(E8:E16)=0,"",SUM(คะแนน!B4,คะแนน!B8:B15,คะแนน!B21:B25,คะแนน!B29:B30,คะแนน!B35,คะแนน!B38:B41,คะแนน!B44:B45)/IF(COUNT(คะแนน!B4,คะแนน!B8:B15,คะแนน!B21:B25,คะแนน!B29:B30,คะแนน!B35,คะแนน!B38:B41,คะแนน!B44:B45)=0,1,COUNT(คะแนน!B4,คะแนน!B8:B15,คะแนน!B21:B25,คะแนน!B29:B30,คะแนน!B35,คะแนน!B38:B41,คะแนน!B44:B45))))</f>
        <v>4.043478260869565</v>
      </c>
      <c r="F17" s="201" t="str">
        <f t="shared" si="0"/>
        <v>การดำเนินงานระดับดี</v>
      </c>
      <c r="G17" s="201"/>
    </row>
    <row r="18" spans="1:7" ht="67.5" customHeight="1">
      <c r="A18" s="201" t="s">
        <v>29</v>
      </c>
      <c r="B18" s="191" t="str">
        <f>IF(B17="","",IF(B17&lt;=1.5,"การดำเนินงานต้องปรับปรุงเร่งด่วน",IF(B17&lt;=2.5,"การดำเนินงานต้องปรับปรุง",IF(B17&lt;=3.5,"การดำเนินงานระดับพอใช้",IF(B17&lt;=4.5,"การดำเนินงานระดับดี",IF(B17&lt;=5,"การดำเนินงานระดับดีมาก","ข้อมูลผิด"))))))</f>
        <v>การดำเนินงานต้องปรับปรุง</v>
      </c>
      <c r="C18" s="191" t="str">
        <f>IF(C17="","",IF(C17&lt;=1.5,"การดำเนินงานต้องปรับปรุงเร่งด่วน",IF(C17&lt;=2.5,"การดำเนินงานต้องปรับปรุง",IF(C17&lt;=3.5,"การดำเนินงานระดับพอใช้",IF(C17&lt;=4.5,"การดำเนินงานระดับดี",IF(C17&lt;=5,"การดำเนินงานระดับดีมาก","ข้อมูลผิด"))))))</f>
        <v>การดำเนินงานระดับดี</v>
      </c>
      <c r="D18" s="191" t="str">
        <f>IF(D17="","",IF(D17&lt;=1.5,"การดำเนินงานต้องปรับปรุงเร่งด่วน",IF(D17&lt;=2.5,"การดำเนินงานต้องปรับปรุง",IF(D17&lt;=3.5,"การดำเนินงานระดับพอใช้",IF(D17&lt;=4.5,"การดำเนินงานระดับดี",IF(D17&lt;=5,"การดำเนินงานระดับดีมาก","ข้อมูลผิด"))))))</f>
        <v>การดำเนินงานระดับดี</v>
      </c>
      <c r="E18" s="191" t="str">
        <f>IF(E17="","",IF(E17&lt;=1.5,"การดำเนินงานต้องปรับปรุงเร่งด่วน",IF(E17&lt;=2.5,"การดำเนินงานต้องปรับปรุง",IF(E17&lt;=3.5,"การดำเนินงานระดับพอใช้",IF(E17&lt;=4.5,"การดำเนินงานระดับดี",IF(E17&lt;=5,"การดำเนินงานระดับดีมาก","ข้อมูลผิด"))))))</f>
        <v>การดำเนินงานระดับดี</v>
      </c>
      <c r="F18" s="203"/>
      <c r="G18" s="201"/>
    </row>
    <row r="19" spans="1:7" ht="25.5" customHeight="1">
      <c r="A19" s="204" t="s">
        <v>171</v>
      </c>
      <c r="B19" s="205"/>
      <c r="C19" s="205"/>
      <c r="D19" s="205"/>
      <c r="E19" s="205"/>
      <c r="F19" s="205"/>
      <c r="G19" s="205"/>
    </row>
    <row r="20" spans="1:7" ht="22.5">
      <c r="A20" s="606" t="s">
        <v>93</v>
      </c>
      <c r="B20" s="606" t="s">
        <v>81</v>
      </c>
      <c r="C20" s="606"/>
      <c r="D20" s="606"/>
      <c r="E20" s="606"/>
      <c r="F20" s="206" t="s">
        <v>29</v>
      </c>
      <c r="G20" s="606" t="s">
        <v>82</v>
      </c>
    </row>
    <row r="21" spans="1:7" ht="12" customHeight="1">
      <c r="A21" s="606"/>
      <c r="B21" s="606"/>
      <c r="C21" s="606"/>
      <c r="D21" s="606"/>
      <c r="E21" s="606"/>
      <c r="F21" s="192" t="s">
        <v>98</v>
      </c>
      <c r="G21" s="606"/>
    </row>
    <row r="22" spans="1:7" ht="12" customHeight="1">
      <c r="A22" s="606"/>
      <c r="B22" s="606"/>
      <c r="C22" s="606"/>
      <c r="D22" s="606"/>
      <c r="E22" s="606"/>
      <c r="F22" s="192" t="s">
        <v>99</v>
      </c>
      <c r="G22" s="606"/>
    </row>
    <row r="23" spans="1:7" ht="12" customHeight="1">
      <c r="A23" s="606"/>
      <c r="B23" s="606" t="s">
        <v>94</v>
      </c>
      <c r="C23" s="606" t="s">
        <v>95</v>
      </c>
      <c r="D23" s="606" t="s">
        <v>96</v>
      </c>
      <c r="E23" s="606" t="s">
        <v>30</v>
      </c>
      <c r="F23" s="192" t="s">
        <v>100</v>
      </c>
      <c r="G23" s="606"/>
    </row>
    <row r="24" spans="1:7" ht="12" customHeight="1">
      <c r="A24" s="606"/>
      <c r="B24" s="606"/>
      <c r="C24" s="606"/>
      <c r="D24" s="606"/>
      <c r="E24" s="606"/>
      <c r="F24" s="192" t="s">
        <v>178</v>
      </c>
      <c r="G24" s="606"/>
    </row>
    <row r="25" spans="1:7" ht="12" customHeight="1">
      <c r="A25" s="606"/>
      <c r="B25" s="606"/>
      <c r="C25" s="606"/>
      <c r="D25" s="606"/>
      <c r="E25" s="606"/>
      <c r="F25" s="193" t="s">
        <v>101</v>
      </c>
      <c r="G25" s="606"/>
    </row>
    <row r="26" spans="1:7" ht="22.5" customHeight="1">
      <c r="A26" s="209" t="s">
        <v>83</v>
      </c>
      <c r="B26" s="210">
        <f>IF(COUNTIF(คะแนน!B4:B7,"Error")&gt;0,"Error",IF(OR(คะแนน!B61=0,COUNT(คะแนน!B4:B7)=0),"","-"))</f>
      </c>
      <c r="C26" s="210">
        <f>IF(COUNTIF(คะแนน!B4:B7,"Error")&gt;0,"Error",IF(OR(คะแนน!B61=0,COUNT(คะแนน!B4)=0),"",คะแนน!B4))</f>
      </c>
      <c r="D26" s="210">
        <f>IF(COUNTIF(คะแนน!B4:B7,"Error")&gt;0,"Error",IF(OR(คะแนน!B61=0,COUNT(คะแนน!B5:B7)=0),"",SUM(คะแนน!B5:B7)/IF(COUNT(คะแนน!B5:B7)=0,1,COUNT(คะแนน!B5:B7))))</f>
      </c>
      <c r="E26" s="210">
        <f>IF(COUNTIF(B26:D26,"Error")&gt;0,"Error",IF(COUNT(B26:D26)=0,"",SUM(คะแนน!B4:B7)/IF(COUNT(คะแนน!B4:B7)=0,1,COUNT(คะแนน!B4:B7))))</f>
      </c>
      <c r="F26" s="209">
        <f>IF(E26="","",IF(E26&lt;=1.5,"การดำเนินงานต้องปรับปรุงเร่งด่วน",IF(E26&lt;=2.5,"การดำเนินงานต้องปรับปรุง",IF(E26&lt;=3.5,"การดำเนินงานระดับพอใช้",IF(E26&lt;=4.5,"การดำเนินงานระดับดี",IF(E26&lt;=5,"การดำเนินงานระดับดีมาก","ข้อมูลผิด"))))))</f>
      </c>
      <c r="G26" s="209"/>
    </row>
    <row r="27" spans="1:7" ht="22.5" customHeight="1">
      <c r="A27" s="209" t="s">
        <v>84</v>
      </c>
      <c r="B27" s="210">
        <f>IF(COUNTIF(คะแนน!B8:B20,"Error")&gt;0,"Error",IF(OR(คะแนน!B61=0,COUNT(คะแนน!B9:B10,คะแนน!B12)=0),"",SUM(คะแนน!B9:B10,คะแนน!B12)/IF(COUNT(คะแนน!B9:B10,คะแนน!B12)=0,1,COUNT(คะแนน!B9:B10,คะแนน!B12))))</f>
      </c>
      <c r="C27" s="210">
        <f>IF(COUNTIF(คะแนน!B8:B20,"Error")&gt;0,"Error",IF(OR(คะแนน!B61=0,COUNT(คะแนน!B8,คะแนน!B11,คะแนน!B13:B14)=0),"",SUM(คะแนน!B8,คะแนน!B11,คะแนน!B13:B14)/IF(COUNT(คะแนน!B8,คะแนน!B11,คะแนน!B13:B14)=0,1,COUNT(คะแนน!B8,คะแนน!B11,คะแนน!B13:B14))))</f>
      </c>
      <c r="D27" s="210">
        <f>IF(COUNTIF(คะแนน!B8:B20,"Error")&gt;0,"Error",IF(OR(คะแนน!B61=0,COUNT(คะแนน!B15:B20)=0),"",SUM(คะแนน!B15:B20)/IF(COUNT(คะแนน!B15:B20)=0,1,COUNT(คะแนน!B15:B20))))</f>
      </c>
      <c r="E27" s="210">
        <f>IF(COUNTIF(B27:D27,"Error")&gt;0,"Error",IF(COUNT(B27:D27)=0,"",SUM(คะแนน!B8:B20)/IF(COUNT(คะแนน!B8:B20)=0,1,COUNT(คะแนน!B8:B20))))</f>
      </c>
      <c r="F27" s="209">
        <f aca="true" t="shared" si="1" ref="F27:F35">IF(E27="","",IF(E27&lt;=1.5,"การดำเนินงานต้องปรับปรุงเร่งด่วน",IF(E27&lt;=2.5,"การดำเนินงานต้องปรับปรุง",IF(E27&lt;=3.5,"การดำเนินงานระดับพอใช้",IF(E27&lt;=4.5,"การดำเนินงานระดับดี",IF(E27&lt;=5,"การดำเนินงานระดับดีมาก","ข้อมูลผิด"))))))</f>
      </c>
      <c r="G27" s="209"/>
    </row>
    <row r="28" spans="1:7" ht="22.5" customHeight="1">
      <c r="A28" s="209" t="s">
        <v>85</v>
      </c>
      <c r="B28" s="210">
        <f>IF(COUNTIF(คะแนน!B21:B22,"Error")&gt;0,"Error",IF(OR(คะแนน!B61=0,COUNT(คะแนน!B21:B22)=0),"","-"))</f>
      </c>
      <c r="C28" s="210">
        <f>IF(COUNTIF(คะแนน!B21:B22,"Error")&gt;0,"Error",IF(OR(คะแนน!B61=0,COUNT(คะแนน!B21:B22)=0),"",SUM(คะแนน!B21:B22)/IF(COUNT(คะแนน!B21:B22)=0,1,COUNT(คะแนน!B21:B22))))</f>
      </c>
      <c r="D28" s="210">
        <f>IF(COUNTIF(คะแนน!B21:B22,"Error")&gt;0,"Error",IF(OR(คะแนน!B61=0,COUNT(คะแนน!B21:B22)=0),"","-"))</f>
      </c>
      <c r="E28" s="210">
        <f>IF(COUNTIF(B28:D28,"Error")&gt;0,"Error",IF(COUNT(B28:D28)=0,"",SUM(คะแนน!B21:B22)/IF(COUNT(คะแนน!B21:B22)=0,1,COUNT(คะแนน!B21:B22))))</f>
      </c>
      <c r="F28" s="209">
        <f t="shared" si="1"/>
      </c>
      <c r="G28" s="209"/>
    </row>
    <row r="29" spans="1:7" ht="22.5" customHeight="1">
      <c r="A29" s="209" t="s">
        <v>86</v>
      </c>
      <c r="B29" s="210">
        <f>IF(COUNTIF(คะแนน!B23:B28,"Error")&gt;0,"Error",IF(OR(คะแนน!B61=0,COUNT(คะแนน!B25)=0),"",คะแนน!B25))</f>
      </c>
      <c r="C29" s="210">
        <f>IF(COUNTIF(คะแนน!B23:B28,"Error")&gt;0,"Error",IF(OR(คะแนน!B61=0,COUNT(คะแนน!B23:B24)=0),"",SUM(คะแนน!B23:B24)/IF(COUNT(คะแนน!B23:B24)=0,1,COUNT(คะแนน!B23:B24))))</f>
      </c>
      <c r="D29" s="210">
        <f>IF(COUNTIF(คะแนน!B23:B28,"Error")&gt;0,"Error",IF(OR(คะแนน!B61=0,COUNT(คะแนน!B26:B28)=0),"",SUM(คะแนน!B26:B28)/IF(COUNT(คะแนน!B26:B28)=0,1,COUNT(คะแนน!B26:B28))))</f>
      </c>
      <c r="E29" s="210">
        <f>IF(COUNTIF(B29:D29,"Error")&gt;0,"Error",IF(COUNT(B29:D29)=0,"",SUM(คะแนน!B23:B28)/IF(COUNT(คะแนน!B23:B28)=0,1,COUNT(คะแนน!B23:B28))))</f>
      </c>
      <c r="F29" s="209">
        <f t="shared" si="1"/>
      </c>
      <c r="G29" s="209"/>
    </row>
    <row r="30" spans="1:7" ht="22.5" customHeight="1">
      <c r="A30" s="209" t="s">
        <v>87</v>
      </c>
      <c r="B30" s="210">
        <f>IF(COUNTIF(คะแนน!B29:B34,"Error")&gt;0,"Error",IF(OR(คะแนน!B61=0,COUNT(คะแนน!B29:B34)=0),"","-"))</f>
      </c>
      <c r="C30" s="210">
        <f>IF(COUNTIF(คะแนน!B29:B34,"Error")&gt;0,"Error",IF(OR(คะแนน!B61=0,COUNT(คะแนน!B29:B30)=0),"",SUM(คะแนน!B29:B30)/IF(COUNT(คะแนน!B29:B30)=0,1,COUNT(คะแนน!B29:B30))))</f>
      </c>
      <c r="D30" s="210">
        <f>IF(COUNTIF(คะแนน!B29:B34,"Error")&gt;0,"Error",IF(OR(คะแนน!B61=0,COUNT(คะแนน!B31:B34)=0),"",SUM(คะแนน!B31:B34)/IF(COUNT(คะแนน!B31:B34)=0,1,COUNT(คะแนน!B31:B34))))</f>
      </c>
      <c r="E30" s="210">
        <f>IF(COUNTIF(B30:D30,"Error")&gt;0,"Error",IF(COUNT(B30:D30)=0,"",SUM(คะแนน!B29:B34)/IF(COUNT(คะแนน!B29:B34)=0,1,COUNT(คะแนน!B29:B34))))</f>
      </c>
      <c r="F30" s="209">
        <f t="shared" si="1"/>
      </c>
      <c r="G30" s="209"/>
    </row>
    <row r="31" spans="1:7" ht="22.5" customHeight="1">
      <c r="A31" s="209" t="s">
        <v>88</v>
      </c>
      <c r="B31" s="210">
        <f>IF(COUNTIF(คะแนน!B35:B37,"Error")&gt;0,"Error",IF(OR(คะแนน!B61=0,COUNT(คะแนน!B35:B37)=0),"","-"))</f>
      </c>
      <c r="C31" s="210">
        <f>IF(COUNTIF(คะแนน!B35:B37,"Error")&gt;0,"Error",IF(OR(คะแนน!B61=0,COUNT(คะแนน!B35)=0),"",คะแนน!B35))</f>
      </c>
      <c r="D31" s="210">
        <f>IF(COUNTIF(คะแนน!B35:B37,"Error")&gt;0,"Error",IF(OR(คะแนน!B61=0,COUNT(คะแนน!B36:B37)=0),"",SUM(คะแนน!B36:B37)/IF(COUNT(คะแนน!B36:B37)=0,1,COUNT(คะแนน!B36:B37))))</f>
      </c>
      <c r="E31" s="210">
        <f>IF(COUNTIF(B31:D31,"Error")&gt;0,"Error",IF(COUNT(B31:D31)=0,"",SUM(คะแนน!B35:B37)/IF(COUNT(คะแนน!B35:B37)=0,1,COUNT(คะแนน!B35:B37))))</f>
      </c>
      <c r="F31" s="209">
        <f t="shared" si="1"/>
      </c>
      <c r="G31" s="209"/>
    </row>
    <row r="32" spans="1:7" ht="22.5" customHeight="1">
      <c r="A32" s="209" t="s">
        <v>89</v>
      </c>
      <c r="B32" s="210">
        <f>IF(COUNTIF(คะแนน!B38:B43,"Error")&gt;0,"Error",IF(OR(คะแนน!B61=0,COUNT(คะแนน!B38:B43)=0),"","-"))</f>
      </c>
      <c r="C32" s="210">
        <f>IF(COUNTIF(คะแนน!B38:B43,"Error")&gt;0,"Error",IF(OR(คะแนน!B61=0,COUNT(คะแนน!B38:B41)=0),"",SUM(คะแนน!B38:B41)/IF(COUNT(คะแนน!B38:B41)=0,1,COUNT(คะแนน!B38:B41))))</f>
      </c>
      <c r="D32" s="210">
        <f>IF(COUNTIF(คะแนน!B38:B43,"Error")&gt;0,"Error",IF(OR(คะแนน!B61=0,COUNT(คะแนน!B42:B43)=0),"",SUM(คะแนน!B42:B43)/IF(COUNT(คะแนน!B42:B43)=0,1,COUNT(คะแนน!B42:B43))))</f>
      </c>
      <c r="E32" s="210">
        <f>IF(COUNTIF(B32:D32,"Error")&gt;0,"Error",IF(COUNT(B32:D32)=0,"",SUM(คะแนน!B38:B43)/IF(COUNT(คะแนน!B38:B43)=0,1,COUNT(คะแนน!B38:B43))))</f>
      </c>
      <c r="F32" s="209">
        <f t="shared" si="1"/>
      </c>
      <c r="G32" s="209"/>
    </row>
    <row r="33" spans="1:7" ht="22.5" customHeight="1">
      <c r="A33" s="209" t="s">
        <v>90</v>
      </c>
      <c r="B33" s="210">
        <f>IF(COUNTIF(คะแนน!B44,"Error")&gt;0,"Error",IF(OR(คะแนน!B61=0,COUNT(คะแนน!B44)=0),"","-"))</f>
      </c>
      <c r="C33" s="210">
        <f>IF(COUNTIF(คะแนน!B44,"Error")&gt;0,"Error",IF(OR(คะแนน!B61=0,COUNT(คะแนน!B44)=0),"",คะแนน!B44))</f>
      </c>
      <c r="D33" s="210">
        <f>IF(COUNTIF(คะแนน!B44,"Error")&gt;0,"Error",IF(OR(คะแนน!B61=0,COUNT(คะแนน!B44)=0),"","-"))</f>
      </c>
      <c r="E33" s="210">
        <f>IF(COUNTIF(B33:D33,"Error")&gt;0,"Error",IF(COUNT(B33:D33)=0,"",SUM(คะแนน!B44)/IF(COUNT(คะแนน!B44)=0,1,COUNT(คะแนน!B44))))</f>
      </c>
      <c r="F33" s="209">
        <f t="shared" si="1"/>
      </c>
      <c r="G33" s="209"/>
    </row>
    <row r="34" spans="1:7" ht="22.5" customHeight="1">
      <c r="A34" s="209" t="s">
        <v>91</v>
      </c>
      <c r="B34" s="210">
        <f>IF(COUNTIF(คะแนน!B45,"Error")&gt;0,"Error",IF(OR(คะแนน!B61=0,COUNT(คะแนน!B45)=0),"","-"))</f>
      </c>
      <c r="C34" s="210">
        <f>IF(COUNTIF(คะแนน!B45,"Error")&gt;0,"Error",IF(OR(คะแนน!B61=0,COUNT(คะแนน!B45)=0),"",คะแนน!B45))</f>
      </c>
      <c r="D34" s="211">
        <f>IF(COUNTIF(คะแนน!B46,"Error")&gt;0,"Error",IF(OR(คะแนน!B61=0,COUNT(คะแนน!B46)=0),"",คะแนน!B46))</f>
      </c>
      <c r="E34" s="210">
        <f>IF(COUNTIF(B34:D34,"Error")&gt;0,"Error",IF(COUNT(B34:D34)=0,"",SUM(คะแนน!B45)/IF(COUNT(คะแนน!B45)=0,1,COUNT(คะแนน!B45))))</f>
      </c>
      <c r="F34" s="209">
        <f t="shared" si="1"/>
      </c>
      <c r="G34" s="209" t="s">
        <v>92</v>
      </c>
    </row>
    <row r="35" spans="1:7" ht="45">
      <c r="A35" s="212" t="s">
        <v>97</v>
      </c>
      <c r="B35" s="210">
        <f>IF(COUNTIF(B26:B34,"Error")&gt;0,"Error",IF(COUNT(B26:B34)=0,"",SUM(คะแนน!B9:B10,คะแนน!B12,คะแนน!B25)/IF(COUNT(คะแนน!B9:B10,คะแนน!B12,คะแนน!B25)=0,1,COUNT(คะแนน!B9:B10,คะแนน!B12,คะแนน!B25))))</f>
      </c>
      <c r="C35" s="210">
        <f>IF(COUNTIF(C26:C34,"Error")&gt;0,"Error",IF(COUNT(C26:C34)=0,"",SUM(คะแนน!B4,คะแนน!B8,คะแนน!B11,คะแนน!B13:B14,คะแนน!B21:B24,คะแนน!B29:B30,คะแนน!B35,คะแนน!B38:B41,คะแนน!B44:B45)/IF(COUNT(คะแนน!B4,คะแนน!B8,คะแนน!B11,คะแนน!B13:B14,คะแนน!B21:B24,คะแนน!B29:B30,คะแนน!B35,คะแนน!B38:B41,คะแนน!B44:B45)=0,1,COUNT(คะแนน!B4,คะแนน!B8,คะแนน!B11,คะแนน!B13:B14,คะแนน!B21:B24,คะแนน!B29:B30,คะแนน!B35,คะแนน!B38:B41,คะแนน!B44:B45))))</f>
      </c>
      <c r="D35" s="210">
        <f>IF(COUNTIF(D26:D34,"Error")&gt;0,"Error",IF(COUNT(D26:D34)=0,"",SUM(คะแนน!B5:B7,คะแนน!B15:B20,คะแนน!B26:B28,คะแนน!B31:B34,คะแนน!B36:B37,คะแนน!B42:B43)/IF(COUNT(คะแนน!B5:B7,คะแนน!B15:B20,คะแนน!B26:B28,คะแนน!B31:B34,คะแนน!B36:B37,คะแนน!B42:B43)=0,1,COUNT(คะแนน!B5:B7,คะแนน!B15:B20,คะแนน!B26:B28,คะแนน!B31:B34,คะแนน!B36:B37,คะแนน!B42:B43))))</f>
      </c>
      <c r="E35" s="210">
        <f>IF(COUNTIF(E26:E34,"Error")&gt;0,"Error",IF(COUNT(E26:E34)=0,"",SUM(คะแนน!B4:B45)/IF(COUNT(คะแนน!B4:B45)=0,1,COUNT(คะแนน!B4:B45))))</f>
      </c>
      <c r="F35" s="209">
        <f t="shared" si="1"/>
      </c>
      <c r="G35" s="209"/>
    </row>
    <row r="36" spans="1:7" ht="67.5" customHeight="1">
      <c r="A36" s="209" t="s">
        <v>29</v>
      </c>
      <c r="B36" s="194">
        <f>IF(B35="","",IF(B35&lt;=1.5,"การดำเนินงานต้องปรับปรุงเร่งด่วน",IF(B35&lt;=2.5,"การดำเนินงานต้องปรับปรุง",IF(B35&lt;=3.5,"การดำเนินงานระดับพอใช้",IF(B35&lt;=4.5,"การดำเนินงานระดับดี",IF(B35&lt;=5,"การดำเนินงานระดับดีมาก","ข้อมูลผิด"))))))</f>
      </c>
      <c r="C36" s="194">
        <f>IF(C35="","",IF(C35&lt;=1.5,"การดำเนินงานต้องปรับปรุงเร่งด่วน",IF(C35&lt;=2.5,"การดำเนินงานต้องปรับปรุง",IF(C35&lt;=3.5,"การดำเนินงานระดับพอใช้",IF(C35&lt;=4.5,"การดำเนินงานระดับดี",IF(C35&lt;=5,"การดำเนินงานระดับดีมาก","ข้อมูลผิด"))))))</f>
      </c>
      <c r="D36" s="194">
        <f>IF(D35="","",IF(D35&lt;=1.5,"การดำเนินงานต้องปรับปรุงเร่งด่วน",IF(D35&lt;=2.5,"การดำเนินงานต้องปรับปรุง",IF(D35&lt;=3.5,"การดำเนินงานระดับพอใช้",IF(D35&lt;=4.5,"การดำเนินงานระดับดี",IF(D35&lt;=5,"การดำเนินงานระดับดีมาก","ข้อมูลผิด"))))))</f>
      </c>
      <c r="E36" s="194">
        <f>IF(E35="","",IF(E35&lt;=1.5,"การดำเนินงานต้องปรับปรุงเร่งด่วน",IF(E35&lt;=2.5,"การดำเนินงานต้องปรับปรุง",IF(E35&lt;=3.5,"การดำเนินงานระดับพอใช้",IF(E35&lt;=4.5,"การดำเนินงานระดับดี",IF(E35&lt;=5,"การดำเนินงานระดับดีมาก","ข้อมูลผิด"))))))</f>
      </c>
      <c r="F36" s="213"/>
      <c r="G36" s="209"/>
    </row>
    <row r="37" spans="1:7" ht="25.5" customHeight="1">
      <c r="A37" s="214" t="s">
        <v>172</v>
      </c>
      <c r="B37" s="215"/>
      <c r="C37" s="215"/>
      <c r="D37" s="215"/>
      <c r="E37" s="215"/>
      <c r="F37" s="215"/>
      <c r="G37" s="215"/>
    </row>
    <row r="38" spans="1:7" ht="22.5">
      <c r="A38" s="605" t="s">
        <v>93</v>
      </c>
      <c r="B38" s="605" t="s">
        <v>81</v>
      </c>
      <c r="C38" s="605"/>
      <c r="D38" s="605"/>
      <c r="E38" s="605"/>
      <c r="F38" s="216" t="s">
        <v>29</v>
      </c>
      <c r="G38" s="605" t="s">
        <v>82</v>
      </c>
    </row>
    <row r="39" spans="1:7" ht="12" customHeight="1">
      <c r="A39" s="605"/>
      <c r="B39" s="605"/>
      <c r="C39" s="605"/>
      <c r="D39" s="605"/>
      <c r="E39" s="605"/>
      <c r="F39" s="195" t="s">
        <v>98</v>
      </c>
      <c r="G39" s="605"/>
    </row>
    <row r="40" spans="1:7" ht="12" customHeight="1">
      <c r="A40" s="605"/>
      <c r="B40" s="605"/>
      <c r="C40" s="605"/>
      <c r="D40" s="605"/>
      <c r="E40" s="605"/>
      <c r="F40" s="195" t="s">
        <v>99</v>
      </c>
      <c r="G40" s="605"/>
    </row>
    <row r="41" spans="1:7" ht="12" customHeight="1">
      <c r="A41" s="605"/>
      <c r="B41" s="605" t="s">
        <v>94</v>
      </c>
      <c r="C41" s="605" t="s">
        <v>95</v>
      </c>
      <c r="D41" s="605" t="s">
        <v>96</v>
      </c>
      <c r="E41" s="605" t="s">
        <v>30</v>
      </c>
      <c r="F41" s="195" t="s">
        <v>100</v>
      </c>
      <c r="G41" s="605"/>
    </row>
    <row r="42" spans="1:7" ht="12" customHeight="1">
      <c r="A42" s="605"/>
      <c r="B42" s="605"/>
      <c r="C42" s="605"/>
      <c r="D42" s="605"/>
      <c r="E42" s="605"/>
      <c r="F42" s="195" t="s">
        <v>178</v>
      </c>
      <c r="G42" s="605"/>
    </row>
    <row r="43" spans="1:7" ht="12" customHeight="1">
      <c r="A43" s="605"/>
      <c r="B43" s="605"/>
      <c r="C43" s="605"/>
      <c r="D43" s="605"/>
      <c r="E43" s="605"/>
      <c r="F43" s="196" t="s">
        <v>101</v>
      </c>
      <c r="G43" s="605"/>
    </row>
    <row r="44" spans="1:7" ht="22.5" customHeight="1">
      <c r="A44" s="219" t="s">
        <v>83</v>
      </c>
      <c r="B44" s="220" t="str">
        <f>IF(COUNTIF(คะแนน!B4:V7,"Error")&gt;0,"Error",IF(OR(คะแนน!B62=0,COUNT(คะแนน!B4:V7)=0),"","-"))</f>
        <v>-</v>
      </c>
      <c r="C44" s="220">
        <f>IF(COUNTIF(คะแนน!B4:V7,"Error")&gt;0,"Error",IF(OR(คะแนน!B62=0,COUNT(คะแนน!B4:V4)=0),"",SUM(คะแนน!B4:V4)/IF(COUNT(คะแนน!B4:V4)=0,1,COUNT(คะแนน!B4:V4))))</f>
        <v>4</v>
      </c>
      <c r="D44" s="220">
        <f>IF(COUNTIF(คะแนน!B4:V7,"Error")&gt;0,"Error",IF(OR(คะแนน!B62=0,COUNT(คะแนน!B5:V7)=0),"",SUM(คะแนน!B5:V7)/IF(COUNT(คะแนน!B5:V7)=0,1,COUNT(คะแนน!B5:V7))))</f>
        <v>5</v>
      </c>
      <c r="E44" s="220">
        <f>IF(COUNTIF(B44:D44,"Error")&gt;0,"Error",IF(COUNT(B44:D44)=0,"",SUM(คะแนน!B4:V7)/IF(COUNT(คะแนน!B4:V7)=0,1,COUNT(คะแนน!B4:V7))))</f>
        <v>4.5</v>
      </c>
      <c r="F44" s="219" t="str">
        <f>IF(E44="","",IF(E44&lt;=1.5,"การดำเนินงานต้องปรับปรุงเร่งด่วน",IF(E44&lt;=2.5,"การดำเนินงานต้องปรับปรุง",IF(E44&lt;=3.5,"การดำเนินงานระดับพอใช้",IF(E44&lt;=4.5,"การดำเนินงานระดับดี",IF(E44&lt;=5,"การดำเนินงานระดับดีมาก","ข้อมูลผิด"))))))</f>
        <v>การดำเนินงานระดับดี</v>
      </c>
      <c r="G44" s="219"/>
    </row>
    <row r="45" spans="1:7" ht="22.5" customHeight="1">
      <c r="A45" s="219" t="s">
        <v>84</v>
      </c>
      <c r="B45" s="220">
        <f>IF(COUNTIF(คะแนน!B8:V20,"Error")&gt;0,"Error",IF(OR(คะแนน!B62=0,COUNT(คะแนน!B9:V10,คะแนน!B12:V12)=0),"",SUM(คะแนน!B9:V10,คะแนน!B12:V12)/IF(COUNT(คะแนน!B9:V10,คะแนน!B12:V12)=0,1,COUNT(คะแนน!B9:V10,คะแนน!B12:V12))))</f>
        <v>1.6666666666666667</v>
      </c>
      <c r="C45" s="220">
        <f>IF(COUNTIF(คะแนน!B8:V20,"Error")&gt;0,"Error",IF(OR(คะแนน!B62=0,COUNT(คะแนน!B8:V8,คะแนน!B11:V11,คะแนน!B13:V14)=0),"",SUM(คะแนน!B8:V8,คะแนน!B11:V11,คะแนน!B13:V14)/IF(COUNT(คะแนน!B8:V8,คะแนน!B11:V11,คะแนน!B13:V14)=0,1,COUNT(คะแนน!B8:V8,คะแนน!B11:V11,คะแนน!B13:V14))))</f>
        <v>4</v>
      </c>
      <c r="D45" s="220">
        <f>IF(COUNTIF(คะแนน!B8:V20,"Error")&gt;0,"Error",IF(OR(คะแนน!B62=0,COUNT(คะแนน!B15:V20)=0),"",SUM(คะแนน!B15:V20)/IF(COUNT(คะแนน!B15:V20)=0,1,COUNT(คะแนน!B15:V20))))</f>
        <v>4</v>
      </c>
      <c r="E45" s="220">
        <f>IF(COUNTIF(B45:D45,"Error")&gt;0,"Error",IF(COUNT(B45:D45)=0,"",SUM(คะแนน!B8:V20)/IF(COUNT(คะแนน!B8:V20)=0,1,COUNT(คะแนน!B8:V20))))</f>
        <v>3.125</v>
      </c>
      <c r="F45" s="219" t="str">
        <f aca="true" t="shared" si="2" ref="F45:F53">IF(E45="","",IF(E45&lt;=1.5,"การดำเนินงานต้องปรับปรุงเร่งด่วน",IF(E45&lt;=2.5,"การดำเนินงานต้องปรับปรุง",IF(E45&lt;=3.5,"การดำเนินงานระดับพอใช้",IF(E45&lt;=4.5,"การดำเนินงานระดับดี",IF(E45&lt;=5,"การดำเนินงานระดับดีมาก","ข้อมูลผิด"))))))</f>
        <v>การดำเนินงานระดับพอใช้</v>
      </c>
      <c r="G45" s="219"/>
    </row>
    <row r="46" spans="1:7" ht="22.5" customHeight="1">
      <c r="A46" s="219" t="s">
        <v>85</v>
      </c>
      <c r="B46" s="220" t="str">
        <f>IF(COUNTIF(คะแนน!B21:V22,"Error")&gt;0,"Error",IF(OR(คะแนน!B62=0,COUNT(คะแนน!B21:V22)=0),"","-"))</f>
        <v>-</v>
      </c>
      <c r="C46" s="220">
        <f>IF(COUNTIF(คะแนน!B21:V22,"Error")&gt;0,"Error",IF(OR(คะแนน!B62=0,COUNT(คะแนน!B21:V22)=0),"",SUM(คะแนน!B21:V22)/IF(COUNT(คะแนน!B21:V22)=0,1,COUNT(คะแนน!B21:V22))))</f>
        <v>5</v>
      </c>
      <c r="D46" s="220" t="str">
        <f>IF(COUNTIF(คะแนน!B21:V22,"Error")&gt;0,"Error",IF(OR(คะแนน!B62=0,COUNT(คะแนน!B21:V22)=0),"","-"))</f>
        <v>-</v>
      </c>
      <c r="E46" s="220">
        <f>IF(COUNTIF(B46:D46,"Error")&gt;0,"Error",IF(COUNT(B46:D46)=0,"",SUM(คะแนน!B21:V22)/IF(COUNT(คะแนน!B21:V22)=0,1,COUNT(คะแนน!B21:V22))))</f>
        <v>5</v>
      </c>
      <c r="F46" s="219" t="str">
        <f t="shared" si="2"/>
        <v>การดำเนินงานระดับดีมาก</v>
      </c>
      <c r="G46" s="219"/>
    </row>
    <row r="47" spans="1:7" ht="22.5" customHeight="1">
      <c r="A47" s="219" t="s">
        <v>86</v>
      </c>
      <c r="B47" s="220">
        <f>IF(COUNTIF(คะแนน!B23:V28,"Error")&gt;0,"Error",IF(OR(คะแนน!B62=0,COUNT(คะแนน!B25:V25)=0),"",SUM(คะแนน!B25:V25)/IF(COUNT(คะแนน!B25:V25)=0,1,COUNT(คะแนน!B25:V25))))</f>
        <v>5</v>
      </c>
      <c r="C47" s="220">
        <f>IF(COUNTIF(คะแนน!B23:V28,"Error")&gt;0,"Error",IF(OR(คะแนน!B62=0,COUNT(คะแนน!B23:V24)=0),"",SUM(คะแนน!B23:V24)/IF(COUNT(คะแนน!B23:V24)=0,1,COUNT(คะแนน!B23:V24))))</f>
        <v>4</v>
      </c>
      <c r="D47" s="220">
        <f>IF(COUNTIF(คะแนน!B23:V28,"Error")&gt;0,"Error",IF(OR(คะแนน!B62=0,COUNT(คะแนน!B26:V28)=0),"",SUM(คะแนน!B26:V28)/IF(COUNT(คะแนน!B26:V28)=0,1,COUNT(คะแนน!B26:V28))))</f>
      </c>
      <c r="E47" s="220">
        <f>IF(COUNTIF(B47:D47,"Error")&gt;0,"Error",IF(COUNT(B47:D47)=0,"",SUM(คะแนน!B23:V28)/IF(COUNT(คะแนน!B23:V28)=0,1,COUNT(คะแนน!B23:V28))))</f>
        <v>4.333333333333333</v>
      </c>
      <c r="F47" s="219" t="str">
        <f t="shared" si="2"/>
        <v>การดำเนินงานระดับดี</v>
      </c>
      <c r="G47" s="219"/>
    </row>
    <row r="48" spans="1:7" ht="22.5" customHeight="1">
      <c r="A48" s="219" t="s">
        <v>87</v>
      </c>
      <c r="B48" s="220" t="str">
        <f>IF(COUNTIF(คะแนน!B29:V34,"Error")&gt;0,"Error",IF(OR(คะแนน!B62=0,COUNT(คะแนน!B29:V34)=0),"","-"))</f>
        <v>-</v>
      </c>
      <c r="C48" s="220">
        <f>IF(COUNTIF(คะแนน!B29:V34,"Error")&gt;0,"Error",IF(OR(คะแนน!B62=0,COUNT(คะแนน!B29:V30)=0),"",SUM(คะแนน!B29:V30)/IF(COUNT(คะแนน!B29:V30)=0,1,COUNT(คะแนน!B29:V30))))</f>
        <v>4.5</v>
      </c>
      <c r="D48" s="220">
        <f>IF(COUNTIF(คะแนน!B29:V34,"Error")&gt;0,"Error",IF(OR(คะแนน!B62=0,COUNT(คะแนน!B31:V34)=0),"",SUM(คะแนน!B31:V34)/IF(COUNT(คะแนน!B31:V34)=0,1,COUNT(คะแนน!B31:V34))))</f>
      </c>
      <c r="E48" s="220">
        <f>IF(COUNTIF(B48:D48,"Error")&gt;0,"Error",IF(COUNT(B48:D48)=0,"",SUM(คะแนน!B29:V34)/IF(COUNT(คะแนน!B29:V34)=0,1,COUNT(คะแนน!B29:V34))))</f>
        <v>4.5</v>
      </c>
      <c r="F48" s="219" t="str">
        <f t="shared" si="2"/>
        <v>การดำเนินงานระดับดี</v>
      </c>
      <c r="G48" s="219"/>
    </row>
    <row r="49" spans="1:7" ht="22.5" customHeight="1">
      <c r="A49" s="219" t="s">
        <v>88</v>
      </c>
      <c r="B49" s="220" t="str">
        <f>IF(COUNTIF(คะแนน!B35:V37,"Error")&gt;0,"Error",IF(OR(คะแนน!B62=0,COUNT(คะแนน!B35:V37)=0),"","-"))</f>
        <v>-</v>
      </c>
      <c r="C49" s="220">
        <f>IF(COUNTIF(คะแนน!B35:V37,"Error")&gt;0,"Error",IF(OR(คะแนน!B62=0,COUNT(คะแนน!B35:V35)=0),"",SUM(คะแนน!B35:V35)/IF(COUNT(คะแนน!B35:V35)=0,1,COUNT(คะแนน!B35:V35))))</f>
        <v>5</v>
      </c>
      <c r="D49" s="220">
        <f>IF(COUNTIF(คะแนน!B35:V37,"Error")&gt;0,"Error",IF(OR(คะแนน!B62=0,COUNT(คะแนน!B36:V37)=0),"",SUM(คะแนน!B36:V37)/IF(COUNT(คะแนน!B36:V37)=0,1,COUNT(คะแนน!B36:V37))))</f>
      </c>
      <c r="E49" s="220">
        <f>IF(COUNTIF(B49:D49,"Error")&gt;0,"Error",IF(COUNT(B49:D49)=0,"",SUM(คะแนน!B35:V37)/IF(COUNT(คะแนน!B35:V37)=0,1,COUNT(คะแนน!B35:V37))))</f>
        <v>5</v>
      </c>
      <c r="F49" s="219" t="str">
        <f t="shared" si="2"/>
        <v>การดำเนินงานระดับดีมาก</v>
      </c>
      <c r="G49" s="219"/>
    </row>
    <row r="50" spans="1:7" ht="22.5" customHeight="1">
      <c r="A50" s="219" t="s">
        <v>89</v>
      </c>
      <c r="B50" s="220" t="str">
        <f>IF(COUNTIF(คะแนน!B38:V43,"Error")&gt;0,"Error",IF(OR(คะแนน!B62=0,COUNT(คะแนน!B38:V43)=0),"","-"))</f>
        <v>-</v>
      </c>
      <c r="C50" s="220">
        <f>IF(COUNTIF(คะแนน!B38:V43,"Error")&gt;0,"Error",IF(OR(คะแนน!B62=0,COUNT(คะแนน!B38:V41)=0),"",SUM(คะแนน!B38:V41)/IF(COUNT(คะแนน!B38:V41)=0,1,COUNT(คะแนน!B38:V41))))</f>
        <v>4.75</v>
      </c>
      <c r="D50" s="220">
        <f>IF(COUNTIF(คะแนน!B38:V43,"Error")&gt;0,"Error",IF(OR(คะแนน!B62=0,COUNT(คะแนน!B42:V43)=0),"",SUM(คะแนน!B42:V43)/IF(COUNT(คะแนน!B42:V43)=0,1,COUNT(คะแนน!B42:V43))))</f>
      </c>
      <c r="E50" s="220">
        <f>IF(COUNTIF(B50:D50,"Error")&gt;0,"Error",IF(COUNT(B50:D50)=0,"",SUM(คะแนน!B38:V43)/IF(COUNT(คะแนน!B38:V43)=0,1,COUNT(คะแนน!B38:V43))))</f>
        <v>4.75</v>
      </c>
      <c r="F50" s="219" t="str">
        <f t="shared" si="2"/>
        <v>การดำเนินงานระดับดีมาก</v>
      </c>
      <c r="G50" s="219"/>
    </row>
    <row r="51" spans="1:7" ht="22.5" customHeight="1">
      <c r="A51" s="219" t="s">
        <v>90</v>
      </c>
      <c r="B51" s="220" t="str">
        <f>IF(COUNTIF(คะแนน!B44:V44,"Error")&gt;0,"Error",IF(OR(คะแนน!B62=0,COUNT(คะแนน!B44:V44)=0),"","-"))</f>
        <v>-</v>
      </c>
      <c r="C51" s="220">
        <f>IF(COUNTIF(คะแนน!B44:V44,"Error")&gt;0,"Error",IF(OR(คะแนน!B62=0,COUNT(คะแนน!B44:V44)=0),"",SUM(คะแนน!B44:V44)/IF(COUNT(คะแนน!B44:V44)=0,1,COUNT(คะแนน!B44:V44))))</f>
        <v>4</v>
      </c>
      <c r="D51" s="220" t="str">
        <f>IF(COUNTIF(คะแนน!B44:V44,"Error")&gt;0,"Error",IF(OR(คะแนน!B62=0,COUNT(คะแนน!B44:V44)=0),"","-"))</f>
        <v>-</v>
      </c>
      <c r="E51" s="220">
        <f>IF(COUNTIF(B51:D51,"Error")&gt;0,"Error",IF(COUNT(B51:D51)=0,"",SUM(คะแนน!B44:V44)/IF(COUNT(คะแนน!B44:V44)=0,1,COUNT(คะแนน!B44:V44))))</f>
        <v>4</v>
      </c>
      <c r="F51" s="219" t="str">
        <f t="shared" si="2"/>
        <v>การดำเนินงานระดับดี</v>
      </c>
      <c r="G51" s="219"/>
    </row>
    <row r="52" spans="1:7" ht="22.5" customHeight="1">
      <c r="A52" s="219" t="s">
        <v>91</v>
      </c>
      <c r="B52" s="220" t="str">
        <f>IF(COUNTIF(คะแนน!B45:V45,"Error")&gt;0,"Error",IF(OR(คะแนน!B62=0,COUNT(คะแนน!B45:V45)=0),"","-"))</f>
        <v>-</v>
      </c>
      <c r="C52" s="220">
        <f>IF(COUNTIF(คะแนน!B45:V45,"Error")&gt;0,"Error",IF(OR(คะแนน!B62=0,COUNT(คะแนน!B45:V45)=0),"",SUM(คะแนน!B45:V45)/IF(COUNT(คะแนน!B45:V45)=0,1,COUNT(คะแนน!B45:V45))))</f>
        <v>4</v>
      </c>
      <c r="D52" s="211">
        <f>IF(COUNTIF(คะแนน!B46:V46,"Error")&gt;0,"Error",IF(OR(คะแนน!B62=0,COUNT(คะแนน!B46:V46)=0),"",คะแนน!B46))</f>
        <v>4.043478260869565</v>
      </c>
      <c r="E52" s="220">
        <f>IF(COUNTIF(B52:D52,"Error")&gt;0,"Error",IF(COUNT(B52:D52)=0,"",SUM(คะแนน!B45:V45)/IF(COUNT(คะแนน!B45:V45)=0,1,COUNT(คะแนน!B45:V45))))</f>
        <v>4</v>
      </c>
      <c r="F52" s="219" t="str">
        <f t="shared" si="2"/>
        <v>การดำเนินงานระดับดี</v>
      </c>
      <c r="G52" s="219" t="s">
        <v>92</v>
      </c>
    </row>
    <row r="53" spans="1:7" ht="45">
      <c r="A53" s="221" t="s">
        <v>97</v>
      </c>
      <c r="B53" s="220">
        <f>IF(COUNTIF(B44:B52,"Error")&gt;0,"Error",IF(COUNT(B44:B52)=0,"",SUM(คะแนน!B9:V10,คะแนน!B12:V12,คะแนน!B25:V25)/IF(COUNT(คะแนน!B9:V10,คะแนน!B12:V12,คะแนน!B25:V25)=0,1,COUNT(คะแนน!B9:V10,คะแนน!B12:V12,คะแนน!B25:V25))))</f>
        <v>2.5</v>
      </c>
      <c r="C53" s="220">
        <f>IF(COUNTIF(C44:C52,"Error")&gt;0,"Error",IF(COUNT(C44:C52)=0,"",SUM(คะแนน!B4:V4,คะแนน!B8:V8,คะแนน!B11:V11,คะแนน!B13:V14,คะแนน!B21:V24,คะแนน!B29:V30,คะแนน!B35:V35,คะแนน!B38:V41,คะแนน!B44:V45)/IF(COUNT(คะแนน!B4:V4,คะแนน!B8:V8,คะแนน!B11:V11,คะแนน!B13:V14,คะแนน!B21:V24,คะแนน!B29:V30,คะแนน!B35:V35,คะแนน!B38:V41,คะแนน!B44:V45)=0,1,COUNT(คะแนน!B4:V4,คะแนน!B8:V8,คะแนน!B11:V11,คะแนน!B13:V14,คะแนน!B21:V24,คะแนน!B29:V30,คะแนน!B35:V35,คะแนน!B38:V41,คะแนน!B44:V45))))</f>
        <v>4.388888888888889</v>
      </c>
      <c r="D53" s="220">
        <f>IF(COUNTIF(D44:D52,"Error")&gt;0,"Error",IF(COUNT(D44:D52)=0,"",SUM(คะแนน!B5:V7,คะแนน!B15:V20,คะแนน!B26:V28,คะแนน!B31:V34,คะแนน!B36:V37,คะแนน!B42:V43)/IF(COUNT(คะแนน!B5:V7,คะแนน!B15:V20,คะแนน!B26:V28,คะแนน!B31:V34,คะแนน!B36:V37,คะแนน!B42:V43)=0,1,COUNT(คะแนน!B5:V7,คะแนน!B15:V20,คะแนน!B26:V28,คะแนน!B31:V34,คะแนน!B36:V37,คะแนน!B42:V43))))</f>
        <v>4.5</v>
      </c>
      <c r="E53" s="220">
        <f>IF(COUNTIF(E44:E52,"Error")&gt;0,"Error",IF(COUNT(E44:E52)=0,"",SUM(คะแนน!B4:V45)/IF(COUNT(คะแนน!B4:V45)=0,1,COUNT(คะแนน!B4:V45))))</f>
        <v>4.083333333333333</v>
      </c>
      <c r="F53" s="219" t="str">
        <f t="shared" si="2"/>
        <v>การดำเนินงานระดับดี</v>
      </c>
      <c r="G53" s="219"/>
    </row>
    <row r="54" spans="1:7" ht="67.5" customHeight="1">
      <c r="A54" s="219" t="s">
        <v>29</v>
      </c>
      <c r="B54" s="197" t="str">
        <f>IF(B53="","",IF(B53&lt;=1.5,"การดำเนินงานต้องปรับปรุงเร่งด่วน",IF(B53&lt;=2.5,"การดำเนินงานต้องปรับปรุง",IF(B53&lt;=3.5,"การดำเนินงานระดับพอใช้",IF(B53&lt;=4.5,"การดำเนินงานระดับดี",IF(B53&lt;=5,"การดำเนินงานระดับดีมาก","ข้อมูลผิด"))))))</f>
        <v>การดำเนินงานต้องปรับปรุง</v>
      </c>
      <c r="C54" s="197" t="str">
        <f>IF(C53="","",IF(C53&lt;=1.5,"การดำเนินงานต้องปรับปรุงเร่งด่วน",IF(C53&lt;=2.5,"การดำเนินงานต้องปรับปรุง",IF(C53&lt;=3.5,"การดำเนินงานระดับพอใช้",IF(C53&lt;=4.5,"การดำเนินงานระดับดี",IF(C53&lt;=5,"การดำเนินงานระดับดีมาก","ข้อมูลผิด"))))))</f>
        <v>การดำเนินงานระดับดี</v>
      </c>
      <c r="D54" s="197" t="str">
        <f>IF(D53="","",IF(D53&lt;=1.5,"การดำเนินงานต้องปรับปรุงเร่งด่วน",IF(D53&lt;=2.5,"การดำเนินงานต้องปรับปรุง",IF(D53&lt;=3.5,"การดำเนินงานระดับพอใช้",IF(D53&lt;=4.5,"การดำเนินงานระดับดี",IF(D53&lt;=5,"การดำเนินงานระดับดีมาก","ข้อมูลผิด"))))))</f>
        <v>การดำเนินงานระดับดี</v>
      </c>
      <c r="E54" s="197" t="str">
        <f>IF(E53="","",IF(E53&lt;=1.5,"การดำเนินงานต้องปรับปรุงเร่งด่วน",IF(E53&lt;=2.5,"การดำเนินงานต้องปรับปรุง",IF(E53&lt;=3.5,"การดำเนินงานระดับพอใช้",IF(E53&lt;=4.5,"การดำเนินงานระดับดี",IF(E53&lt;=5,"การดำเนินงานระดับดีมาก","ข้อมูลผิด"))))))</f>
        <v>การดำเนินงานระดับดี</v>
      </c>
      <c r="F54" s="222"/>
      <c r="G54" s="219"/>
    </row>
  </sheetData>
  <sheetProtection password="CC53" sheet="1"/>
  <mergeCells count="21">
    <mergeCell ref="A2:A7"/>
    <mergeCell ref="G2:G7"/>
    <mergeCell ref="B5:B7"/>
    <mergeCell ref="C5:C7"/>
    <mergeCell ref="D5:D7"/>
    <mergeCell ref="E5:E7"/>
    <mergeCell ref="B2:E4"/>
    <mergeCell ref="A20:A25"/>
    <mergeCell ref="B20:E22"/>
    <mergeCell ref="G20:G25"/>
    <mergeCell ref="B23:B25"/>
    <mergeCell ref="C23:C25"/>
    <mergeCell ref="D23:D25"/>
    <mergeCell ref="E23:E25"/>
    <mergeCell ref="A38:A43"/>
    <mergeCell ref="B38:E40"/>
    <mergeCell ref="G38:G43"/>
    <mergeCell ref="B41:B43"/>
    <mergeCell ref="C41:C43"/>
    <mergeCell ref="D41:D43"/>
    <mergeCell ref="E41:E43"/>
  </mergeCells>
  <printOptions horizontalCentered="1"/>
  <pageMargins left="0.75" right="0.75" top="1.25" bottom="1" header="1" footer="0.8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="120" zoomScaleNormal="120" zoomScalePageLayoutView="0" workbookViewId="0" topLeftCell="A7">
      <selection activeCell="D5" sqref="D5:D7"/>
    </sheetView>
  </sheetViews>
  <sheetFormatPr defaultColWidth="9.00390625" defaultRowHeight="14.25"/>
  <cols>
    <col min="1" max="1" width="18.25390625" style="30" customWidth="1"/>
    <col min="2" max="5" width="9.25390625" style="30" customWidth="1"/>
    <col min="6" max="6" width="32.125" style="30" customWidth="1"/>
    <col min="7" max="7" width="30.00390625" style="30" customWidth="1"/>
    <col min="8" max="16384" width="9.00390625" style="30" customWidth="1"/>
  </cols>
  <sheetData>
    <row r="1" ht="35.25" customHeight="1">
      <c r="A1" s="110" t="s">
        <v>152</v>
      </c>
    </row>
    <row r="2" spans="1:7" ht="22.5">
      <c r="A2" s="607" t="s">
        <v>102</v>
      </c>
      <c r="B2" s="607" t="s">
        <v>81</v>
      </c>
      <c r="C2" s="607"/>
      <c r="D2" s="607"/>
      <c r="E2" s="607"/>
      <c r="F2" s="198" t="s">
        <v>29</v>
      </c>
      <c r="G2" s="607" t="s">
        <v>82</v>
      </c>
    </row>
    <row r="3" spans="1:7" ht="12" customHeight="1">
      <c r="A3" s="607"/>
      <c r="B3" s="607"/>
      <c r="C3" s="607"/>
      <c r="D3" s="607"/>
      <c r="E3" s="607"/>
      <c r="F3" s="189" t="s">
        <v>98</v>
      </c>
      <c r="G3" s="607"/>
    </row>
    <row r="4" spans="1:7" ht="12" customHeight="1">
      <c r="A4" s="607"/>
      <c r="B4" s="607"/>
      <c r="C4" s="607"/>
      <c r="D4" s="607"/>
      <c r="E4" s="607"/>
      <c r="F4" s="189" t="s">
        <v>99</v>
      </c>
      <c r="G4" s="607"/>
    </row>
    <row r="5" spans="1:7" ht="12" customHeight="1">
      <c r="A5" s="607"/>
      <c r="B5" s="607" t="s">
        <v>94</v>
      </c>
      <c r="C5" s="607" t="s">
        <v>95</v>
      </c>
      <c r="D5" s="607" t="s">
        <v>96</v>
      </c>
      <c r="E5" s="607" t="s">
        <v>30</v>
      </c>
      <c r="F5" s="189" t="s">
        <v>100</v>
      </c>
      <c r="G5" s="607"/>
    </row>
    <row r="6" spans="1:7" ht="12" customHeight="1">
      <c r="A6" s="607"/>
      <c r="B6" s="607"/>
      <c r="C6" s="607"/>
      <c r="D6" s="607"/>
      <c r="E6" s="607"/>
      <c r="F6" s="189" t="s">
        <v>178</v>
      </c>
      <c r="G6" s="607"/>
    </row>
    <row r="7" spans="1:7" ht="12" customHeight="1">
      <c r="A7" s="607"/>
      <c r="B7" s="607"/>
      <c r="C7" s="607"/>
      <c r="D7" s="607"/>
      <c r="E7" s="607"/>
      <c r="F7" s="190" t="s">
        <v>101</v>
      </c>
      <c r="G7" s="607"/>
    </row>
    <row r="8" spans="1:7" ht="22.5" customHeight="1">
      <c r="A8" s="223" t="s">
        <v>103</v>
      </c>
      <c r="B8" s="224" t="str">
        <f>IF(COUNTIF(คะแนน!B15,"Error")&gt;0,"Error",IF(OR(คะแนน!B60=0,COUNT(คะแนน!B15)=0),"","-"))</f>
        <v>-</v>
      </c>
      <c r="C8" s="224" t="str">
        <f>IF(COUNTIF(คะแนน!B15,"Error")&gt;0,"Error",IF(OR(คะแนน!B60=0,COUNT(คะแนน!B15)=0),"","-"))</f>
        <v>-</v>
      </c>
      <c r="D8" s="224">
        <f>IF(COUNTIF(คะแนน!B15,"Error")&gt;0,"Error",IF(OR(คะแนน!B60=0,COUNT(คะแนน!B15)=0),"",คะแนน!B15))</f>
        <v>4</v>
      </c>
      <c r="E8" s="224">
        <f>IF(COUNTIF(B8:D8,"Error")&gt;0,"Error",IF(COUNT(B8:D8)=0,"",SUM(คะแนน!B15)/IF(COUNT(คะแนน!B15)=0,1,COUNT(คะแนน!B15))))</f>
        <v>4</v>
      </c>
      <c r="F8" s="223" t="str">
        <f>IF(E8="","",IF(E8&lt;=1.5,"การดำเนินงานต้องปรับปรุงเร่งด่วน",IF(E8&lt;=2.5,"การดำเนินงานต้องปรับปรุง",IF(E8&lt;=3.5,"การดำเนินงานระดับพอใช้",IF(E8&lt;=4.5,"การดำเนินงานระดับดี",IF(E8&lt;=5,"การดำเนินงานระดับดีมาก","ข้อมูลผิด"))))))</f>
        <v>การดำเนินงานระดับดี</v>
      </c>
      <c r="G8" s="225"/>
    </row>
    <row r="9" spans="1:7" ht="22.5" customHeight="1">
      <c r="A9" s="226" t="s">
        <v>104</v>
      </c>
      <c r="B9" s="227"/>
      <c r="C9" s="227"/>
      <c r="D9" s="227"/>
      <c r="E9" s="227"/>
      <c r="F9" s="228"/>
      <c r="G9" s="229"/>
    </row>
    <row r="10" spans="1:7" ht="22.5" customHeight="1">
      <c r="A10" s="230" t="s">
        <v>106</v>
      </c>
      <c r="B10" s="231" t="str">
        <f>IF((COUNTIF(คะแนน!B4,"Error")+COUNTIF(คะแนน!B11,"Error")+COUNTIF(คะแนน!B38,"Error")+COUNTIF(คะแนน!B40:B41,"Error")+COUNTIF(คะแนน!B44:B45,"Error"))&gt;0,"Error",IF(OR(คะแนน!B60=0,COUNT(คะแนน!B4,คะแนน!B11,คะแนน!B38,คะแนน!B40:B41,คะแนน!B44:B45)=0),"","-"))</f>
        <v>-</v>
      </c>
      <c r="C10" s="231">
        <f>IF((COUNTIF(คะแนน!B4,"Error")+COUNTIF(คะแนน!B11,"Error")+COUNTIF(คะแนน!B38,"Error")+COUNTIF(คะแนน!B40:B41,"Error")+COUNTIF(คะแนน!B44:B45,"Error"))&gt;0,"Error",IF(OR(คะแนน!B60=0,COUNT(คะแนน!B4,คะแนน!B11,คะแนน!B38,คะแนน!B40:B41,คะแนน!B44:B45)=0),"",SUM(คะแนน!B4,คะแนน!B11,คะแนน!B38,คะแนน!B40:B41,คะแนน!B44:B45)/IF(COUNT(คะแนน!B4,คะแนน!B11,คะแนน!B38,คะแนน!B40:B41,คะแนน!B44:B45)=0,1,COUNT(คะแนน!B4,คะแนน!B11,คะแนน!B38,คะแนน!B40:B41,คะแนน!B44:B45))))</f>
        <v>4.285714285714286</v>
      </c>
      <c r="D10" s="231"/>
      <c r="E10" s="231">
        <f>IF(COUNTIF(B10:D10,"Error")&gt;0,"Error",IF(SUM(B10:D10)=0,"",SUM(คะแนน!B4,คะแนน!B11,คะแนน!B38,คะแนน!B40:B41,คะแนน!B44:B45)/IF(COUNT(คะแนน!B4,คะแนน!B11,คะแนน!B38,คะแนน!B40:B41,คะแนน!B44:B45)=0,1,COUNT(คะแนน!B4,คะแนน!B11,คะแนน!B38,คะแนน!B40:B41,คะแนน!B44:B45))))</f>
        <v>4.285714285714286</v>
      </c>
      <c r="F10" s="199" t="str">
        <f>IF(E10="","",IF(E10&lt;=1.5,"การดำเนินงานต้องปรับปรุงเร่งด่วน",IF(E10&lt;=2.5,"การดำเนินงานต้องปรับปรุง",IF(E10&lt;=3.5,"การดำเนินงานระดับพอใช้",IF(E10&lt;=4.5,"การดำเนินงานระดับดี",IF(E10&lt;=5,"การดำเนินงานระดับดีมาก","ข้อมูลผิด"))))))</f>
        <v>การดำเนินงานระดับดี</v>
      </c>
      <c r="G10" s="232"/>
    </row>
    <row r="11" spans="1:7" ht="22.5" customHeight="1">
      <c r="A11" s="233" t="s">
        <v>107</v>
      </c>
      <c r="B11" s="234">
        <f>IF((COUNTIF(คะแนน!B9:B10,"Error")+COUNTIF(คะแนน!B12,"Error")+COUNTIF(คะแนน!B25,"Error"))&gt;0,"Error",IF(OR(คะแนน!B60=0,COUNT(คะแนน!B9:B10,คะแนน!B12,คะแนน!B25)=0),"",SUM(คะแนน!B9:B10,คะแนน!B12,คะแนน!B25)/IF(COUNT(คะแนน!B9:B10,คะแนน!B12,คะแนน!B25)=0,1,COUNT(คะแนน!B9:B10,คะแนน!B12,คะแนน!B25))))</f>
        <v>2.5</v>
      </c>
      <c r="C11" s="234">
        <f>IF((COUNTIF(คะแนน!B8,"Error")+COUNTIF(คะแนน!B13:B14,"Error")+COUNTIF(คะแนน!B21:B23,"Error")+COUNTIF(คะแนน!B29:B30,"Error")+COUNTIF(คะแนน!B35,"Error"))&gt;0,"Error",IF(OR(คะแนน!B60=0,COUNT(คะแนน!B8,คะแนน!B13:B14,คะแนน!B21:B23,คะแนน!B29:B30,คะแนน!B35)=0),"",SUM(คะแนน!B8,คะแนน!B13:B14,คะแนน!B21:B23,คะแนน!B29:B30,คะแนน!B35)/IF(COUNT(คะแนน!B8,คะแนน!B13:B14,คะแนน!B21:B23,คะแนน!B29:B30,คะแนน!B35)=0,1,COUNT(คะแนน!B8,คะแนน!B13:B14,คะแนน!B21:B23,คะแนน!B29:B30,คะแนน!B35))))</f>
        <v>4.555555555555555</v>
      </c>
      <c r="D11" s="234"/>
      <c r="E11" s="234">
        <f>IF(COUNTIF(B11:D11,"Error")&gt;0,"Error",IF(SUM(B11:D11)=0,"",SUM(คะแนน!B8:B10,คะแนน!B12:B14,คะแนน!B21:B23,คะแนน!B25,คะแนน!B29:B30,คะแนน!B35)/IF(COUNT(คะแนน!B8:B10,คะแนน!B12:B14,คะแนน!B21:B23,คะแนน!B25,คะแนน!B29:B30,คะแนน!B35)=0,1,COUNT(คะแนน!B8:B10,คะแนน!B12:B14,คะแนน!B21:B23,คะแนน!B25,คะแนน!B29:B30,คะแนน!B35))))</f>
        <v>3.923076923076923</v>
      </c>
      <c r="F11" s="200" t="str">
        <f>IF(E11="","",IF(E11&lt;=1.5,"การดำเนินงานต้องปรับปรุงเร่งด่วน",IF(E11&lt;=2.5,"การดำเนินงานต้องปรับปรุง",IF(E11&lt;=3.5,"การดำเนินงานระดับพอใช้",IF(E11&lt;=4.5,"การดำเนินงานระดับดี",IF(E11&lt;=5,"การดำเนินงานระดับดีมาก","ข้อมูลผิด"))))))</f>
        <v>การดำเนินงานระดับดี</v>
      </c>
      <c r="G11" s="235" t="s">
        <v>92</v>
      </c>
    </row>
    <row r="12" spans="1:7" ht="22.5" customHeight="1">
      <c r="A12" s="235" t="s">
        <v>105</v>
      </c>
      <c r="B12" s="236" t="str">
        <f>IF((COUNTIF(คะแนน!B24,"Error")+COUNTIF(คะแนน!B39,"Error"))&gt;0,"Error",IF(OR(คะแนน!B60=0,COUNT(คะแนน!B24,คะแนน!B39)=0),"","-"))</f>
        <v>-</v>
      </c>
      <c r="C12" s="236">
        <f>IF((COUNTIF(คะแนน!B24,"Error")+COUNTIF(คะแนน!B39,"Error"))&gt;0,"Error",IF(OR(คะแนน!B60=0,COUNT(คะแนน!B24,คะแนน!B39)=0),"",SUM(คะแนน!B24,คะแนน!B39)/IF(COUNT(คะแนน!B24,คะแนน!B39)=0,1,COUNT(คะแนน!B24,คะแนน!B39))))</f>
        <v>4</v>
      </c>
      <c r="D12" s="236"/>
      <c r="E12" s="236">
        <f>IF(COUNTIF(B12:D12,"Error")&gt;0,"Error",IF(SUM(B12:D12)=0,"",SUM(คะแนน!B24,คะแนน!B39)/IF(COUNT(คะแนน!B24,คะแนน!B39)=0,1,COUNT(คะแนน!B24,คะแนน!B39))))</f>
        <v>4</v>
      </c>
      <c r="F12" s="235" t="str">
        <f>IF(E12="","",IF(E12&lt;=1.5,"การดำเนินงานต้องปรับปรุงเร่งด่วน",IF(E12&lt;=2.5,"การดำเนินงานต้องปรับปรุง",IF(E12&lt;=3.5,"การดำเนินงานระดับพอใช้",IF(E12&lt;=4.5,"การดำเนินงานระดับดี",IF(E12&lt;=5,"การดำเนินงานระดับดีมาก","ข้อมูลผิด"))))))</f>
        <v>การดำเนินงานระดับดี</v>
      </c>
      <c r="G12" s="237"/>
    </row>
    <row r="13" spans="1:7" ht="45">
      <c r="A13" s="168" t="s">
        <v>114</v>
      </c>
      <c r="B13" s="202">
        <f>IF(COUNTIF(B8:B12,"Error")&gt;0,"Error",IF(SUM(B8:B12)=0,"",SUM(คะแนน!B9:B10,คะแนน!B12,คะแนน!B25)/IF(COUNT(คะแนน!B9:B10,คะแนน!B12,คะแนน!B25)=0,1,COUNT(คะแนน!B9:B10,คะแนน!B12,คะแนน!B25))))</f>
        <v>2.5</v>
      </c>
      <c r="C13" s="202">
        <f>IF(COUNTIF(C8:C12,"Error")&gt;0,"Error",IF(SUM(C8:C12)=0,"",SUM(คะแนน!B4,คะแนน!B8,คะแนน!B11,คะแนน!B13:B14,คะแนน!B21:B24,คะแนน!B29:B30,คะแนน!B35,คะแนน!B38:B41,คะแนน!B44:B45)/IF(COUNT(คะแนน!B4,คะแนน!B8,คะแนน!B11,คะแนน!B13:B14,คะแนน!B21:B24,คะแนน!B29:B30,คะแนน!B35,คะแนน!B38:B41,คะแนน!B44:B45)=0,1,COUNT(คะแนน!B4,คะแนน!B8,คะแนน!B11,คะแนน!B13:B14,คะแนน!B21:B24,คะแนน!B29:B30,คะแนน!B35,คะแนน!B38:B41,คะแนน!B44:B45))))</f>
        <v>4.388888888888889</v>
      </c>
      <c r="D13" s="202">
        <f>IF(COUNTIF(D8:D12,"Error")&gt;0,"Error",IF(SUM(D8:D12)=0,"",SUM(คะแนน!B15)/IF(COUNT(คะแนน!B15)=0,1,COUNT(คะแนน!B15))))</f>
        <v>4</v>
      </c>
      <c r="E13" s="202">
        <f>IF(COUNTIF(E8:E12,"Error")&gt;0,"Error",IF(SUM(E8:E12)=0,"",SUM(คะแนน!B4,คะแนน!B8:B15,คะแนน!B21:B25,คะแนน!B29:B30,คะแนน!B35,คะแนน!B38:B41,คะแนน!B44:B45)/IF(COUNT(คะแนน!B4,คะแนน!B8:B15,คะแนน!B21:B25,คะแนน!B29:B30,คะแนน!B35,คะแนน!B38:B41,คะแนน!B44:B45)=0,1,COUNT(คะแนน!B4,คะแนน!B8:B15,คะแนน!B21:B25,คะแนน!B29:B30,คะแนน!B35,คะแนน!B38:B41,คะแนน!B44:B45))))</f>
        <v>4.043478260869565</v>
      </c>
      <c r="F13" s="201" t="str">
        <f>IF(E13="","",IF(E13&lt;=1.5,"การดำเนินงานต้องปรับปรุงเร่งด่วน",IF(E13&lt;=2.5,"การดำเนินงานต้องปรับปรุง",IF(E13&lt;=3.5,"การดำเนินงานระดับพอใช้",IF(E13&lt;=4.5,"การดำเนินงานระดับดี",IF(E13&lt;=5,"การดำเนินงานระดับดีมาก","ข้อมูลผิด"))))))</f>
        <v>การดำเนินงานระดับดี</v>
      </c>
      <c r="G13" s="203"/>
    </row>
    <row r="14" spans="1:7" ht="71.25" customHeight="1">
      <c r="A14" s="201" t="s">
        <v>29</v>
      </c>
      <c r="B14" s="191" t="str">
        <f>IF(B13="","",IF(B13&lt;=1.5,"การดำเนินงานต้องปรับปรุงเร่งด่วน",IF(B13&lt;=2.5,"การดำเนินงานต้องปรับปรุง",IF(B13&lt;=3.5,"การดำเนินงานระดับพอใช้",IF(B13&lt;=4.5,"การดำเนินงานระดับดี",IF(B13&lt;=5,"การดำเนินงานระดับดีมาก","ข้อมูลผิด"))))))</f>
        <v>การดำเนินงานต้องปรับปรุง</v>
      </c>
      <c r="C14" s="191" t="str">
        <f>IF(C13="","",IF(C13&lt;=1.5,"การดำเนินงานต้องปรับปรุงเร่งด่วน",IF(C13&lt;=2.5,"การดำเนินงานต้องปรับปรุง",IF(C13&lt;=3.5,"การดำเนินงานระดับพอใช้",IF(C13&lt;=4.5,"การดำเนินงานระดับดี",IF(C13&lt;=5,"การดำเนินงานระดับดีมาก","ข้อมูลผิด"))))))</f>
        <v>การดำเนินงานระดับดี</v>
      </c>
      <c r="D14" s="191" t="str">
        <f>IF(D13="","",IF(D13&lt;=1.5,"การดำเนินงานต้องปรับปรุงเร่งด่วน",IF(D13&lt;=2.5,"การดำเนินงานต้องปรับปรุง",IF(D13&lt;=3.5,"การดำเนินงานระดับพอใช้",IF(D13&lt;=4.5,"การดำเนินงานระดับดี",IF(D13&lt;=5,"การดำเนินงานระดับดีมาก","ข้อมูลผิด"))))))</f>
        <v>การดำเนินงานระดับดี</v>
      </c>
      <c r="E14" s="191" t="str">
        <f>IF(E13="","",IF(E13&lt;=1.5,"การดำเนินงานต้องปรับปรุงเร่งด่วน",IF(E13&lt;=2.5,"การดำเนินงานต้องปรับปรุง",IF(E13&lt;=3.5,"การดำเนินงานระดับพอใช้",IF(E13&lt;=4.5,"การดำเนินงานระดับดี",IF(E13&lt;=5,"การดำเนินงานระดับดีมาก","ข้อมูลผิด"))))))</f>
        <v>การดำเนินงานระดับดี</v>
      </c>
      <c r="F14" s="203"/>
      <c r="G14" s="203"/>
    </row>
    <row r="15" spans="1:7" ht="35.25" customHeight="1">
      <c r="A15" s="204" t="s">
        <v>174</v>
      </c>
      <c r="B15" s="205"/>
      <c r="C15" s="205"/>
      <c r="D15" s="205"/>
      <c r="E15" s="205"/>
      <c r="F15" s="205"/>
      <c r="G15" s="205"/>
    </row>
    <row r="16" spans="1:7" ht="22.5">
      <c r="A16" s="606" t="s">
        <v>102</v>
      </c>
      <c r="B16" s="606" t="s">
        <v>81</v>
      </c>
      <c r="C16" s="606"/>
      <c r="D16" s="606"/>
      <c r="E16" s="606"/>
      <c r="F16" s="206" t="s">
        <v>29</v>
      </c>
      <c r="G16" s="606" t="s">
        <v>82</v>
      </c>
    </row>
    <row r="17" spans="1:7" ht="12" customHeight="1">
      <c r="A17" s="606"/>
      <c r="B17" s="606"/>
      <c r="C17" s="606"/>
      <c r="D17" s="606"/>
      <c r="E17" s="606"/>
      <c r="F17" s="192" t="s">
        <v>98</v>
      </c>
      <c r="G17" s="606"/>
    </row>
    <row r="18" spans="1:7" ht="12" customHeight="1">
      <c r="A18" s="606"/>
      <c r="B18" s="606"/>
      <c r="C18" s="606"/>
      <c r="D18" s="606"/>
      <c r="E18" s="606"/>
      <c r="F18" s="192" t="s">
        <v>99</v>
      </c>
      <c r="G18" s="606"/>
    </row>
    <row r="19" spans="1:7" ht="12" customHeight="1">
      <c r="A19" s="606"/>
      <c r="B19" s="606" t="s">
        <v>94</v>
      </c>
      <c r="C19" s="606" t="s">
        <v>95</v>
      </c>
      <c r="D19" s="606" t="s">
        <v>96</v>
      </c>
      <c r="E19" s="606" t="s">
        <v>30</v>
      </c>
      <c r="F19" s="192" t="s">
        <v>100</v>
      </c>
      <c r="G19" s="606"/>
    </row>
    <row r="20" spans="1:7" ht="12" customHeight="1">
      <c r="A20" s="606"/>
      <c r="B20" s="606"/>
      <c r="C20" s="606"/>
      <c r="D20" s="606"/>
      <c r="E20" s="606"/>
      <c r="F20" s="192" t="s">
        <v>178</v>
      </c>
      <c r="G20" s="606"/>
    </row>
    <row r="21" spans="1:7" ht="12" customHeight="1">
      <c r="A21" s="606"/>
      <c r="B21" s="606"/>
      <c r="C21" s="606"/>
      <c r="D21" s="606"/>
      <c r="E21" s="606"/>
      <c r="F21" s="193" t="s">
        <v>101</v>
      </c>
      <c r="G21" s="606"/>
    </row>
    <row r="22" spans="1:7" ht="22.5" customHeight="1">
      <c r="A22" s="238" t="s">
        <v>103</v>
      </c>
      <c r="B22" s="239">
        <f>IF(COUNTIF(คะแนน!B15:B19,"Error")&gt;0,"Error",IF(OR(คะแนน!B61=0,COUNT(คะแนน!B15:B19)=0),"","-"))</f>
      </c>
      <c r="C22" s="239">
        <f>IF(COUNTIF(คะแนน!B15:B19,"Error")&gt;0,"Error",IF(OR(คะแนน!B61=0,COUNT(คะแนน!B15:B19)=0),"","-"))</f>
      </c>
      <c r="D22" s="239">
        <f>IF(COUNTIF(คะแนน!B15:B19,"Error")&gt;0,"Error",IF(OR(คะแนน!B61=0,COUNT(คะแนน!B15:B19)=0),"",SUM(คะแนน!B15:B19)/IF(COUNT(คะแนน!B15:B19)=0,1,COUNT(คะแนน!B15:B19))))</f>
      </c>
      <c r="E22" s="239">
        <f>IF(COUNTIF(B22:D22,"Error")&gt;0,"Error",IF(SUM(B22:D22)=0,"",SUM(คะแนน!B15:B19)/IF(COUNT(คะแนน!B15:B19)=0,1,COUNT(คะแนน!B15:B19))))</f>
      </c>
      <c r="F22" s="238">
        <f>IF(E22="","",IF(E22&lt;=1.5,"การดำเนินงานต้องปรับปรุงเร่งด่วน",IF(E22&lt;=2.5,"การดำเนินงานต้องปรับปรุง",IF(E22&lt;=3.5,"การดำเนินงานระดับพอใช้",IF(E22&lt;=4.5,"การดำเนินงานระดับดี",IF(E22&lt;=5,"การดำเนินงานระดับดีมาก","ข้อมูลผิด"))))))</f>
      </c>
      <c r="G22" s="240"/>
    </row>
    <row r="23" spans="1:7" ht="22.5" customHeight="1">
      <c r="A23" s="241" t="s">
        <v>104</v>
      </c>
      <c r="B23" s="242"/>
      <c r="C23" s="242"/>
      <c r="D23" s="242"/>
      <c r="E23" s="242"/>
      <c r="F23" s="243"/>
      <c r="G23" s="244"/>
    </row>
    <row r="24" spans="1:7" ht="22.5" customHeight="1">
      <c r="A24" s="245" t="s">
        <v>106</v>
      </c>
      <c r="B24" s="246">
        <f>IF((COUNTIF(คะแนน!B4,"Error")+COUNTIF(คะแนน!B11,"Error")+COUNTIF(คะแนน!B38,"Error")+COUNTIF(คะแนน!B40:B45,"Error"))&gt;0,"Error",IF(OR(คะแนน!B61=0,COUNT(คะแนน!B4,คะแนน!B11,คะแนน!B38,คะแนน!B40:B45)=0),"","-"))</f>
      </c>
      <c r="C24" s="246">
        <f>IF((COUNTIF(คะแนน!B4,"Error")+COUNTIF(คะแนน!B11,"Error")+COUNTIF(คะแนน!B38,"Error")+COUNTIF(คะแนน!B40:B45,"Error"))&gt;0,"Error",IF(OR(คะแนน!B61=0,COUNT(คะแนน!B4,คะแนน!B11,คะแนน!B38,คะแนน!B40:B41,คะแนน!B44:B45)=0),"",SUM(คะแนน!B4,คะแนน!B11,คะแนน!B38,คะแนน!B40:B41,คะแนน!B44:B45)/IF(COUNT(คะแนน!B4,คะแนน!B11,คะแนน!B38,คะแนน!B40:B41,คะแนน!B44:B45)=0,1,COUNT(คะแนน!B4,คะแนน!B11,คะแนน!B38,คะแนน!B40:B41,คะแนน!B44:B45))))</f>
      </c>
      <c r="D24" s="246">
        <f>IF((COUNTIF(คะแนน!B4,"Error")+COUNTIF(คะแนน!B11,"Error")+COUNTIF(คะแนน!B38,"Error")+COUNTIF(คะแนน!B40:B45,"Error"))&gt;0,"Error",IF(OR(คะแนน!B61=0,COUNT(คะแนน!B42:B43)=0),"",SUM(คะแนน!B42:B43)/IF(COUNT(คะแนน!B42:B43)=0,1,COUNT(คะแนน!B42:B43))))</f>
      </c>
      <c r="E24" s="246">
        <f>IF(COUNTIF(B24:D24,"Error")&gt;0,"Error",IF(SUM(B24:D24)=0,"",SUM(คะแนน!B4,คะแนน!B11,คะแนน!B38,คะแนน!B40:B45)/IF(COUNT(คะแนน!B4,คะแนน!B11,คะแนน!B38,คะแนน!B40:B45)=0,1,COUNT(คะแนน!B4,คะแนน!B11,คะแนน!B38,คะแนน!B40:B45))))</f>
      </c>
      <c r="F24" s="207">
        <f>IF(E24="","",IF(E24&lt;=1.5,"การดำเนินงานต้องปรับปรุงเร่งด่วน",IF(E24&lt;=2.5,"การดำเนินงานต้องปรับปรุง",IF(E24&lt;=3.5,"การดำเนินงานระดับพอใช้",IF(E24&lt;=4.5,"การดำเนินงานระดับดี",IF(E24&lt;=5,"การดำเนินงานระดับดีมาก","ข้อมูลผิด"))))))</f>
      </c>
      <c r="G24" s="247"/>
    </row>
    <row r="25" spans="1:7" ht="22.5" customHeight="1">
      <c r="A25" s="248" t="s">
        <v>107</v>
      </c>
      <c r="B25" s="249">
        <f>IF((COUNTIF(คะแนน!B5:B10,"Error")+COUNTIF(คะแนน!B12:B14,"Error")+COUNTIF(คะแนน!B20:B23,"Error")+COUNTIF(คะแนน!B25,"Error")+COUNTIF(คะแนน!B29:B37,"Error"))&gt;0,"Error",IF(OR(คะแนน!B61=0,COUNT(คะแนน!B9:B10,คะแนน!B12,คะแนน!B25)=0),"",SUM(คะแนน!B9:B10,คะแนน!B12,คะแนน!B25)/IF(COUNT(คะแนน!B9:B10,คะแนน!B12,คะแนน!B25)=0,1,COUNT(คะแนน!B9:B10,คะแนน!B12,คะแนน!B25))))</f>
      </c>
      <c r="C25" s="249">
        <f>IF((COUNTIF(คะแนน!B5:B10,"Error")+COUNTIF(คะแนน!B12:B14,"Error")+COUNTIF(คะแนน!B20:B23,"Error")+COUNTIF(คะแนน!B25,"Error")+COUNTIF(คะแนน!B29:B37,"Error"))&gt;0,"Error",IF(OR(คะแนน!B61=0,COUNT(คะแนน!B8,คะแนน!B13:B14,คะแนน!B21:B23,คะแนน!B29:B30,คะแนน!B35)=0),"",SUM(คะแนน!B8,คะแนน!B13:B14,คะแนน!B21:B23,คะแนน!B29:B30,คะแนน!B35)/IF(COUNT(คะแนน!B8,คะแนน!B13:B14,คะแนน!B21:B23,คะแนน!B29:B30,คะแนน!B35)=0,1,COUNT(คะแนน!B8,คะแนน!B13:B14,คะแนน!B21:B23,คะแนน!B29:B30,คะแนน!B35))))</f>
      </c>
      <c r="D25" s="249">
        <f>IF((COUNTIF(คะแนน!B5:B10,"Error")+COUNTIF(คะแนน!B12:B14,"Error")+COUNTIF(คะแนน!B20:B23,"Error")+COUNTIF(คะแนน!B25,"Error")+COUNTIF(คะแนน!B29:B37,"Error"))&gt;0,"Error",IF(OR(คะแนน!B61=0,COUNT(คะแนน!B5:B7,คะแนน!B20,คะแนน!B31:B34,คะแนน!B36:B37)=0),"",SUM(คะแนน!B5:B7,คะแนน!B20,คะแนน!B31:B34,คะแนน!B36:B37)/IF(COUNT(คะแนน!B5:B7,คะแนน!B20,คะแนน!B31:B34,คะแนน!B36:B37)=0,1,COUNT(คะแนน!B5:B7,คะแนน!B20,คะแนน!B31:B34,คะแนน!B36:B37))))</f>
      </c>
      <c r="E25" s="249">
        <f>IF(COUNTIF(B25:D25,"Error")&gt;0,"Error",IF(SUM(B25:D25)=0,"",SUM(คะแนน!B5:B10,คะแนน!B12:B14,คะแนน!B20:B23,คะแนน!B25,คะแนน!B29:B37)/IF(COUNT(คะแนน!B5:B10,คะแนน!B12:B14,คะแนน!B20:B23,คะแนน!B25,คะแนน!B29:B37)=0,1,COUNT(คะแนน!B5:B10,คะแนน!B12:B14,คะแนน!B20:B23,คะแนน!B25,คะแนน!B29:B37))))</f>
      </c>
      <c r="F25" s="208">
        <f>IF(E25="","",IF(E25&lt;=1.5,"การดำเนินงานต้องปรับปรุงเร่งด่วน",IF(E25&lt;=2.5,"การดำเนินงานต้องปรับปรุง",IF(E25&lt;=3.5,"การดำเนินงานระดับพอใช้",IF(E25&lt;=4.5,"การดำเนินงานระดับดี",IF(E25&lt;=5,"การดำเนินงานระดับดีมาก","ข้อมูลผิด"))))))</f>
      </c>
      <c r="G25" s="250" t="s">
        <v>92</v>
      </c>
    </row>
    <row r="26" spans="1:7" ht="22.5" customHeight="1">
      <c r="A26" s="250" t="s">
        <v>105</v>
      </c>
      <c r="B26" s="251">
        <f>IF((COUNTIF(คะแนน!B24,"Error")+COUNTIF(คะแนน!B26:B28,"Error")+COUNTIF(คะแนน!B39,"Error"))&gt;0,"Error",IF(OR(คะแนน!B61=0,COUNT(คะแนน!B24,คะแนน!B26:B28,คะแนน!B39)=0),"","-"))</f>
      </c>
      <c r="C26" s="251">
        <f>IF((COUNTIF(คะแนน!B24,"Error")+COUNTIF(คะแนน!B26:B28,"Error")+COUNTIF(คะแนน!B39,"Error"))&gt;0,"Error",IF(OR(คะแนน!B61=0,COUNT(คะแนน!B24,คะแนน!B39)=0),"",SUM(คะแนน!B24,คะแนน!B39)/IF(COUNT(คะแนน!B24,คะแนน!B39)=0,1,COUNT(คะแนน!B24,คะแนน!B39))))</f>
      </c>
      <c r="D26" s="251">
        <f>IF((COUNTIF(คะแนน!B24,"Error")+COUNTIF(คะแนน!B26:B28,"Error")+COUNTIF(คะแนน!B39,"Error"))&gt;0,"Error",IF(OR(คะแนน!B61=0,COUNT(คะแนน!B26:B28)=0),"",SUM(คะแนน!B26:B28)/IF(COUNT(คะแนน!B26:B28)=0,1,COUNT(คะแนน!B26:B28))))</f>
      </c>
      <c r="E26" s="251">
        <f>IF(COUNTIF(B26:D26,"Error")&gt;0,"Error",IF(SUM(B26:D26)=0,"",SUM(คะแนน!B24,คะแนน!B26:B28,คะแนน!B39)/IF(COUNT(คะแนน!B24,คะแนน!B26:B28,คะแนน!B39)=0,1,COUNT(คะแนน!B24,คะแนน!B26:B28,คะแนน!B39))))</f>
      </c>
      <c r="F26" s="250">
        <f>IF(E26="","",IF(E26&lt;=1.5,"การดำเนินงานต้องปรับปรุงเร่งด่วน",IF(E26&lt;=2.5,"การดำเนินงานต้องปรับปรุง",IF(E26&lt;=3.5,"การดำเนินงานระดับพอใช้",IF(E26&lt;=4.5,"การดำเนินงานระดับดี",IF(E26&lt;=5,"การดำเนินงานระดับดีมาก","ข้อมูลผิด"))))))</f>
      </c>
      <c r="G26" s="252"/>
    </row>
    <row r="27" spans="1:7" ht="45">
      <c r="A27" s="212" t="s">
        <v>114</v>
      </c>
      <c r="B27" s="210">
        <f>IF(COUNTIF(B22:B26,"Error")&gt;0,"Error",IF(SUM(B22:B26)=0,"",SUM(คะแนน!B9:B10,คะแนน!B12,คะแนน!B25)/IF(COUNT(คะแนน!B9:B10,คะแนน!B12,คะแนน!B25)=0,1,COUNT(คะแนน!B9:B10,คะแนน!B12,คะแนน!B25))))</f>
      </c>
      <c r="C27" s="210">
        <f>IF(COUNTIF(C22:C26,"Error")&gt;0,"Error",IF(SUM(C22:C26)=0,"",SUM(คะแนน!B4,คะแนน!B8,คะแนน!B11,คะแนน!B13:B14,คะแนน!B21:B24,คะแนน!B29:B30,คะแนน!B35,คะแนน!B38:B41,คะแนน!B44:B45)/IF(COUNT(คะแนน!B4,คะแนน!B8,คะแนน!B11,คะแนน!B13:B14,คะแนน!B21:B24,คะแนน!B29:B30,คะแนน!B35,คะแนน!B38:B41,คะแนน!B44:B45)=0,1,COUNT(คะแนน!B4,คะแนน!B8,คะแนน!B11,คะแนน!B13:B14,คะแนน!B21:B24,คะแนน!B29:B30,คะแนน!B35,คะแนน!B38:B41,คะแนน!B44:B45))))</f>
      </c>
      <c r="D27" s="210">
        <f>IF(COUNTIF(D22:D26,"Error")&gt;0,"Error",IF(SUM(D22:D26)=0,"",SUM(คะแนน!B5:B7,คะแนน!B15:B20,คะแนน!B26:B28,คะแนน!B31:B34,คะแนน!B36:B37,คะแนน!B42:B43)/IF(COUNT(คะแนน!B5:B7,คะแนน!B15:B20,คะแนน!B26:B28,คะแนน!B31:B34,คะแนน!B36:B37,คะแนน!B42:B43)=0,1,COUNT(คะแนน!B5:B7,คะแนน!B15:B20,คะแนน!B26:B28,คะแนน!B31:B34,คะแนน!B36:B37,คะแนน!B42:B43))))</f>
      </c>
      <c r="E27" s="210">
        <f>IF(COUNTIF(E22:E26,"Error")&gt;0,"Error",IF(SUM(E22:E26)=0,"",SUM(คะแนน!B4:B45)/IF(COUNT(คะแนน!B4:B45)=0,1,COUNT(คะแนน!B4:B45))))</f>
      </c>
      <c r="F27" s="209">
        <f>IF(E27="","",IF(E27&lt;=1.5,"การดำเนินงานต้องปรับปรุงเร่งด่วน",IF(E27&lt;=2.5,"การดำเนินงานต้องปรับปรุง",IF(E27&lt;=3.5,"การดำเนินงานระดับพอใช้",IF(E27&lt;=4.5,"การดำเนินงานระดับดี",IF(E27&lt;=5,"การดำเนินงานระดับดีมาก","ข้อมูลผิด"))))))</f>
      </c>
      <c r="G27" s="213"/>
    </row>
    <row r="28" spans="1:7" ht="71.25" customHeight="1">
      <c r="A28" s="209" t="s">
        <v>29</v>
      </c>
      <c r="B28" s="194">
        <f>IF(B27="","",IF(B27&lt;=1.5,"การดำเนินงานต้องปรับปรุงเร่งด่วน",IF(B27&lt;=2.5,"การดำเนินงานต้องปรับปรุง",IF(B27&lt;=3.5,"การดำเนินงานระดับพอใช้",IF(B27&lt;=4.5,"การดำเนินงานระดับดี",IF(B27&lt;=5,"การดำเนินงานระดับดีมาก","ข้อมูลผิด"))))))</f>
      </c>
      <c r="C28" s="194">
        <f>IF(C27="","",IF(C27&lt;=1.5,"การดำเนินงานต้องปรับปรุงเร่งด่วน",IF(C27&lt;=2.5,"การดำเนินงานต้องปรับปรุง",IF(C27&lt;=3.5,"การดำเนินงานระดับพอใช้",IF(C27&lt;=4.5,"การดำเนินงานระดับดี",IF(C27&lt;=5,"การดำเนินงานระดับดีมาก","ข้อมูลผิด"))))))</f>
      </c>
      <c r="D28" s="194">
        <f>IF(D27="","",IF(D27&lt;=1.5,"การดำเนินงานต้องปรับปรุงเร่งด่วน",IF(D27&lt;=2.5,"การดำเนินงานต้องปรับปรุง",IF(D27&lt;=3.5,"การดำเนินงานระดับพอใช้",IF(D27&lt;=4.5,"การดำเนินงานระดับดี",IF(D27&lt;=5,"การดำเนินงานระดับดีมาก","ข้อมูลผิด"))))))</f>
      </c>
      <c r="E28" s="194">
        <f>IF(E27="","",IF(E27&lt;=1.5,"การดำเนินงานต้องปรับปรุงเร่งด่วน",IF(E27&lt;=2.5,"การดำเนินงานต้องปรับปรุง",IF(E27&lt;=3.5,"การดำเนินงานระดับพอใช้",IF(E27&lt;=4.5,"การดำเนินงานระดับดี",IF(E27&lt;=5,"การดำเนินงานระดับดีมาก","ข้อมูลผิด"))))))</f>
      </c>
      <c r="F28" s="213"/>
      <c r="G28" s="213"/>
    </row>
    <row r="29" spans="1:7" ht="35.25" customHeight="1">
      <c r="A29" s="214" t="s">
        <v>173</v>
      </c>
      <c r="B29" s="215"/>
      <c r="C29" s="215"/>
      <c r="D29" s="215"/>
      <c r="E29" s="215"/>
      <c r="F29" s="215"/>
      <c r="G29" s="215"/>
    </row>
    <row r="30" spans="1:7" ht="22.5">
      <c r="A30" s="605" t="s">
        <v>102</v>
      </c>
      <c r="B30" s="605" t="s">
        <v>81</v>
      </c>
      <c r="C30" s="605"/>
      <c r="D30" s="605"/>
      <c r="E30" s="605"/>
      <c r="F30" s="216" t="s">
        <v>29</v>
      </c>
      <c r="G30" s="605" t="s">
        <v>82</v>
      </c>
    </row>
    <row r="31" spans="1:7" ht="12" customHeight="1">
      <c r="A31" s="605"/>
      <c r="B31" s="605"/>
      <c r="C31" s="605"/>
      <c r="D31" s="605"/>
      <c r="E31" s="605"/>
      <c r="F31" s="195" t="s">
        <v>98</v>
      </c>
      <c r="G31" s="605"/>
    </row>
    <row r="32" spans="1:7" ht="12" customHeight="1">
      <c r="A32" s="605"/>
      <c r="B32" s="605"/>
      <c r="C32" s="605"/>
      <c r="D32" s="605"/>
      <c r="E32" s="605"/>
      <c r="F32" s="195" t="s">
        <v>99</v>
      </c>
      <c r="G32" s="605"/>
    </row>
    <row r="33" spans="1:7" ht="12" customHeight="1">
      <c r="A33" s="605"/>
      <c r="B33" s="605" t="s">
        <v>94</v>
      </c>
      <c r="C33" s="605" t="s">
        <v>95</v>
      </c>
      <c r="D33" s="605" t="s">
        <v>96</v>
      </c>
      <c r="E33" s="605" t="s">
        <v>30</v>
      </c>
      <c r="F33" s="195" t="s">
        <v>100</v>
      </c>
      <c r="G33" s="605"/>
    </row>
    <row r="34" spans="1:7" ht="12" customHeight="1">
      <c r="A34" s="605"/>
      <c r="B34" s="605"/>
      <c r="C34" s="605"/>
      <c r="D34" s="605"/>
      <c r="E34" s="605"/>
      <c r="F34" s="195" t="s">
        <v>178</v>
      </c>
      <c r="G34" s="605"/>
    </row>
    <row r="35" spans="1:7" ht="12" customHeight="1">
      <c r="A35" s="605"/>
      <c r="B35" s="605"/>
      <c r="C35" s="605"/>
      <c r="D35" s="605"/>
      <c r="E35" s="605"/>
      <c r="F35" s="196" t="s">
        <v>101</v>
      </c>
      <c r="G35" s="605"/>
    </row>
    <row r="36" spans="1:7" ht="22.5" customHeight="1">
      <c r="A36" s="253" t="s">
        <v>103</v>
      </c>
      <c r="B36" s="254" t="str">
        <f>IF(COUNTIF(คะแนน!B15:V19,"Error")&gt;0,"Error",IF(OR(คะแนน!B62=0,COUNT(คะแนน!B15:V19)=0),"","-"))</f>
        <v>-</v>
      </c>
      <c r="C36" s="254" t="str">
        <f>IF(COUNTIF(คะแนน!B15:V19,"Error")&gt;0,"Error",IF(OR(คะแนน!B62=0,COUNT(คะแนน!B15:V19)=0),"","-"))</f>
        <v>-</v>
      </c>
      <c r="D36" s="254">
        <f>IF(COUNTIF(คะแนน!B15:V19,"Error")&gt;0,"Error",IF(OR(คะแนน!B62=0,COUNT(คะแนน!B15:V19)=0),"",SUM(คะแนน!B15:V19)/IF(COUNT(คะแนน!B15:V19)=0,1,COUNT(คะแนน!B15:V19))))</f>
        <v>4</v>
      </c>
      <c r="E36" s="254">
        <f>IF(COUNTIF(B36:D36,"Error")&gt;0,"Error",IF(SUM(B36:D36)=0,"",SUM(คะแนน!B15:V19)/IF(COUNT(คะแนน!B15:V19)=0,1,COUNT(คะแนน!B15:V19))))</f>
        <v>4</v>
      </c>
      <c r="F36" s="253" t="str">
        <f>IF(E36="","",IF(E36&lt;=1.5,"การดำเนินงานต้องปรับปรุงเร่งด่วน",IF(E36&lt;=2.5,"การดำเนินงานต้องปรับปรุง",IF(E36&lt;=3.5,"การดำเนินงานระดับพอใช้",IF(E36&lt;=4.5,"การดำเนินงานระดับดี",IF(E36&lt;=5,"การดำเนินงานระดับดีมาก","ข้อมูลผิด"))))))</f>
        <v>การดำเนินงานระดับดี</v>
      </c>
      <c r="G36" s="255"/>
    </row>
    <row r="37" spans="1:7" ht="22.5" customHeight="1">
      <c r="A37" s="256" t="s">
        <v>104</v>
      </c>
      <c r="B37" s="257"/>
      <c r="C37" s="257"/>
      <c r="D37" s="257"/>
      <c r="E37" s="257"/>
      <c r="F37" s="258"/>
      <c r="G37" s="259"/>
    </row>
    <row r="38" spans="1:7" ht="22.5" customHeight="1">
      <c r="A38" s="260" t="s">
        <v>106</v>
      </c>
      <c r="B38" s="261" t="str">
        <f>IF((COUNTIF(คะแนน!B4:V4,"Error")+COUNTIF(คะแนน!B11:V11,"Error")+COUNTIF(คะแนน!B38:V38,"Error")+COUNTIF(คะแนน!B40:V45,"Error"))&gt;0,"Error",IF(OR(คะแนน!B62=0,COUNT(คะแนน!B4:V4,คะแนน!B11:V11,คะแนน!B38:V38,คะแนน!B40:V45)=0),"","-"))</f>
        <v>-</v>
      </c>
      <c r="C38" s="261">
        <f>IF((COUNTIF(คะแนน!B4:V4,"Error")+COUNTIF(คะแนน!B11:V11,"Error")+COUNTIF(คะแนน!B38:V38,"Error")+COUNTIF(คะแนน!B40:V45,"Error"))&gt;0,"Error",IF(OR(คะแนน!B62=0,COUNT(คะแนน!B4:V4,คะแนน!B11:V11,คะแนน!B38:V38,คะแนน!B40:V41,คะแนน!B44:V45)=0),"",SUM(คะแนน!B4:V4,คะแนน!B11:V11,คะแนน!B38:V38,คะแนน!B40:V41,คะแนน!B44:V45)/IF(COUNT(คะแนน!B4:V4,คะแนน!B11:V11,คะแนน!B38:V38,คะแนน!B40:V41,คะแนน!B44:V45)=0,1,COUNT(คะแนน!B4:V4,คะแนน!B11:V11,คะแนน!B38:V38,คะแนน!B40:V41,คะแนน!B44:V45))))</f>
        <v>4.285714285714286</v>
      </c>
      <c r="D38" s="261">
        <f>IF((COUNTIF(คะแนน!B4:V4,"Error")+COUNTIF(คะแนน!B11:V11,"Error")+COUNTIF(คะแนน!B38:V38,"Error")+COUNTIF(คะแนน!B40:V45,"Error"))&gt;0,"Error",IF(OR(คะแนน!B62=0,COUNT(คะแนน!B42:V43)=0),"",SUM(คะแนน!B42:V43)/IF(COUNT(คะแนน!B42:V43)=0,1,COUNT(คะแนน!B42:V43))))</f>
      </c>
      <c r="E38" s="261">
        <f>IF(COUNTIF(B38:D38,"Error")&gt;0,"Error",IF(SUM(B38:D38)=0,"",SUM(คะแนน!B4:V4,คะแนน!B11:V11,คะแนน!B38:V38,คะแนน!B40:V45)/IF(COUNT(คะแนน!B4:V4,คะแนน!B11:V11,คะแนน!B38:V38,คะแนน!B40:V45)=0,1,COUNT(คะแนน!B4:V4,คะแนน!B11:V11,คะแนน!B38:V38,คะแนน!B40:V45))))</f>
        <v>4.285714285714286</v>
      </c>
      <c r="F38" s="217" t="str">
        <f>IF(E38="","",IF(E38&lt;=1.5,"การดำเนินงานต้องปรับปรุงเร่งด่วน",IF(E38&lt;=2.5,"การดำเนินงานต้องปรับปรุง",IF(E38&lt;=3.5,"การดำเนินงานระดับพอใช้",IF(E38&lt;=4.5,"การดำเนินงานระดับดี",IF(E38&lt;=5,"การดำเนินงานระดับดีมาก","ข้อมูลผิด"))))))</f>
        <v>การดำเนินงานระดับดี</v>
      </c>
      <c r="G38" s="262"/>
    </row>
    <row r="39" spans="1:7" ht="22.5" customHeight="1">
      <c r="A39" s="263" t="s">
        <v>107</v>
      </c>
      <c r="B39" s="264">
        <f>IF((COUNTIF(คะแนน!B5:V10,"Error")+COUNTIF(คะแนน!B12:V14,"Error")+COUNTIF(คะแนน!B20:V23,"Error")+COUNTIF(คะแนน!B25:V25,"Error")+COUNTIF(คะแนน!B29:V37,"Error"))&gt;0,"Error",IF(OR(คะแนน!B62=0,COUNT(คะแนน!B9:V10,คะแนน!B12:V12,คะแนน!B25:V25)=0),"",SUM(คะแนน!B9:V10,คะแนน!B12:V12,คะแนน!B25:V25)/IF(COUNT(คะแนน!B9:V10,คะแนน!B12:V12,คะแนน!B25:V25)=0,1,COUNT(คะแนน!B9:V10,คะแนน!B12:V12,คะแนน!B25:V25))))</f>
        <v>2.5</v>
      </c>
      <c r="C39" s="264">
        <f>IF((COUNTIF(คะแนน!B5:V10,"Error")+COUNTIF(คะแนน!B12:V14,"Error")+COUNTIF(คะแนน!B20:V23,"Error")+COUNTIF(คะแนน!B25:V25,"Error")+COUNTIF(คะแนน!B29:V37,"Error"))&gt;0,"Error",IF(OR(คะแนน!B62=0,COUNT(คะแนน!B8:V8,คะแนน!B13:V14,คะแนน!B21:V23,คะแนน!B29:V30,คะแนน!B35:V35)=0),"",SUM(คะแนน!B8:V8,คะแนน!B13:V14,คะแนน!B21:V23,คะแนน!B29:V30,คะแนน!B35:V35)/IF(COUNT(คะแนน!B8:V8,คะแนน!B13:V14,คะแนน!B21:V23,คะแนน!B29:V30,คะแนน!B35:V35)=0,1,COUNT(คะแนน!B8:V8,คะแนน!B13:V14,คะแนน!B21:V23,คะแนน!B29:V30,คะแนน!B35:V35))))</f>
        <v>4.555555555555555</v>
      </c>
      <c r="D39" s="264">
        <f>IF((COUNTIF(คะแนน!B5:V10,"Error")+COUNTIF(คะแนน!B12:V14,"Error")+COUNTIF(คะแนน!B20:V23,"Error")+COUNTIF(คะแนน!B25:V25,"Error")+COUNTIF(คะแนน!B29:V37,"Error"))&gt;0,"Error",IF(OR(คะแนน!B62=0,COUNT(คะแนน!B5:V7,คะแนน!B20:V20,คะแนน!B31:V34,คะแนน!B36:V37)=0),"",SUM(คะแนน!B5:V7,คะแนน!B20:V20,คะแนน!B31:V34,คะแนน!B36:V37)/IF(COUNT(คะแนน!B5:V7,คะแนน!B20:V20,คะแนน!B31:V34,คะแนน!B36:V37)=0,1,COUNT(คะแนน!B5:V7,คะแนน!B20:V20,คะแนน!B31:V34,คะแนน!B36:V37))))</f>
        <v>5</v>
      </c>
      <c r="E39" s="264">
        <f>IF(COUNTIF(B39:D39,"Error")&gt;0,"Error",IF(SUM(B39:D39)=0,"",SUM(คะแนน!B5:V10,คะแนน!B12:V14,คะแนน!B20:V23,คะแนน!B25:V25,คะแนน!B29:V37)/IF(COUNT(คะแนน!B5:V10,คะแนน!B12:V14,คะแนน!B20:V23,คะแนน!B25:V25,คะแนน!B29:V37)=0,1,COUNT(คะแนน!B5:V10,คะแนน!B12:V14,คะแนน!B20:V23,คะแนน!B25:V25,คะแนน!B29:V37))))</f>
        <v>4</v>
      </c>
      <c r="F39" s="218" t="str">
        <f>IF(E39="","",IF(E39&lt;=1.5,"การดำเนินงานต้องปรับปรุงเร่งด่วน",IF(E39&lt;=2.5,"การดำเนินงานต้องปรับปรุง",IF(E39&lt;=3.5,"การดำเนินงานระดับพอใช้",IF(E39&lt;=4.5,"การดำเนินงานระดับดี",IF(E39&lt;=5,"การดำเนินงานระดับดีมาก","ข้อมูลผิด"))))))</f>
        <v>การดำเนินงานระดับดี</v>
      </c>
      <c r="G39" s="265" t="s">
        <v>92</v>
      </c>
    </row>
    <row r="40" spans="1:7" ht="22.5" customHeight="1">
      <c r="A40" s="265" t="s">
        <v>105</v>
      </c>
      <c r="B40" s="266" t="str">
        <f>IF((COUNTIF(คะแนน!B24:V24,"Error")+COUNTIF(คะแนน!B26:V28,"Error")+COUNTIF(คะแนน!B39:V39,"Error"))&gt;0,"Error",IF(OR(คะแนน!B62=0,COUNT(คะแนน!B24:V24,คะแนน!B26:V28,คะแนน!B39:V39)=0),"","-"))</f>
        <v>-</v>
      </c>
      <c r="C40" s="266">
        <f>IF((COUNTIF(คะแนน!B24:V24,"Error")+COUNTIF(คะแนน!B26:V28,"Error")+COUNTIF(คะแนน!B39:V39,"Error"))&gt;0,"Error",IF(OR(คะแนน!B62=0,COUNT(คะแนน!B24:V24,คะแนน!B39:V39)=0),"",SUM(คะแนน!B24:V24,คะแนน!B39:V39)/IF(COUNT(คะแนน!B24:V24,คะแนน!B39:V39)=0,1,COUNT(คะแนน!B24:V24,คะแนน!B39:V39))))</f>
        <v>4</v>
      </c>
      <c r="D40" s="266">
        <f>IF((COUNTIF(คะแนน!B24:V24,"Error")+COUNTIF(คะแนน!B26:V28,"Error")+COUNTIF(คะแนน!B39:V39,"Error"))&gt;0,"Error",IF(OR(คะแนน!B62=0,COUNT(คะแนน!B26:V28)=0),"",SUM(คะแนน!B26:V28)/IF(COUNT(คะแนน!B26:V28)=0,1,COUNT(คะแนน!B26:V28))))</f>
      </c>
      <c r="E40" s="266">
        <f>IF(COUNTIF(B40:D40,"Error")&gt;0,"Error",IF(SUM(B40:D40)=0,"",SUM(คะแนน!B52,คะแนน!B67)/IF(COUNT(คะแนน!B52,คะแนน!B67)=0,1,COUNT(คะแนน!B52,คะแนน!B67))))</f>
        <v>0</v>
      </c>
      <c r="F40" s="265" t="str">
        <f>IF(E40="","",IF(E40&lt;=1.5,"การดำเนินงานต้องปรับปรุงเร่งด่วน",IF(E40&lt;=2.5,"การดำเนินงานต้องปรับปรุง",IF(E40&lt;=3.5,"การดำเนินงานระดับพอใช้",IF(E40&lt;=4.5,"การดำเนินงานระดับดี",IF(E40&lt;=5,"การดำเนินงานระดับดีมาก","ข้อมูลผิด"))))))</f>
        <v>การดำเนินงานต้องปรับปรุงเร่งด่วน</v>
      </c>
      <c r="G40" s="267"/>
    </row>
    <row r="41" spans="1:7" ht="45">
      <c r="A41" s="221" t="s">
        <v>114</v>
      </c>
      <c r="B41" s="220">
        <f>IF(COUNTIF(B36:B40,"Error")&gt;0,"Error",IF(SUM(B36:B40)=0,"",SUM(คะแนน!B9:V10,คะแนน!B12:V12,คะแนน!B25:V25)/IF(COUNT(คะแนน!B9:V10,คะแนน!B12:V12,คะแนน!B25:V25)=0,1,COUNT(คะแนน!B9:V10,คะแนน!B12:V12,คะแนน!B25:V25))))</f>
        <v>2.5</v>
      </c>
      <c r="C41" s="220">
        <f>IF(COUNTIF(C36:C40,"Error")&gt;0,"Error",IF(SUM(C36:C40)=0,"",SUM(คะแนน!B4:V4,คะแนน!B8:V8,คะแนน!B11:V11,คะแนน!B13:V14,คะแนน!B21:V24,คะแนน!B29:V30,คะแนน!B35:V35,คะแนน!B38:V41,คะแนน!B44:V45)/IF(COUNT(คะแนน!B4:V4,คะแนน!B8:V8,คะแนน!B11:V11,คะแนน!B13:V14,คะแนน!B21:V24,คะแนน!B29:V30,คะแนน!B35:V35,คะแนน!B38:V41,คะแนน!B44:V45)=0,1,COUNT(คะแนน!B4:V4,คะแนน!B8:V8,คะแนน!B11:V11,คะแนน!B13:V14,คะแนน!B21:V24,คะแนน!B29:V30,คะแนน!B35:V35,คะแนน!B38:V41,คะแนน!B44:V45))))</f>
        <v>4.388888888888889</v>
      </c>
      <c r="D41" s="220">
        <f>IF(COUNTIF(D36:D40,"Error")&gt;0,"Error",IF(SUM(D36:D40)=0,"",SUM(คะแนน!B5:V7,คะแนน!B15:V20,คะแนน!B26:V28,คะแนน!B31:V34,คะแนน!B36:V37,คะแนน!B42:V43)/IF(COUNT(คะแนน!B5:V7,คะแนน!B15:V20,คะแนน!B26:V28,คะแนน!B31:V34,คะแนน!B36:V37,คะแนน!B42:V43)=0,1,COUNT(คะแนน!B5:V7,คะแนน!B15:V20,คะแนน!B26:V28,คะแนน!B31:V34,คะแนน!B36:V37,คะแนน!B42:V43))))</f>
        <v>4.5</v>
      </c>
      <c r="E41" s="220">
        <f>IF(COUNTIF(E36:E40,"Error")&gt;0,"Error",IF(SUM(E36:E40)=0,"",SUM(คะแนน!B4:V45)/IF(COUNT(คะแนน!B4:V45)=0,1,COUNT(คะแนน!B4:V45))))</f>
        <v>4.083333333333333</v>
      </c>
      <c r="F41" s="219" t="str">
        <f>IF(E41="","",IF(E41&lt;=1.5,"การดำเนินงานต้องปรับปรุงเร่งด่วน",IF(E41&lt;=2.5,"การดำเนินงานต้องปรับปรุง",IF(E41&lt;=3.5,"การดำเนินงานระดับพอใช้",IF(E41&lt;=4.5,"การดำเนินงานระดับดี",IF(E41&lt;=5,"การดำเนินงานระดับดีมาก","ข้อมูลผิด"))))))</f>
        <v>การดำเนินงานระดับดี</v>
      </c>
      <c r="G41" s="222"/>
    </row>
    <row r="42" spans="1:7" ht="71.25" customHeight="1">
      <c r="A42" s="219" t="s">
        <v>29</v>
      </c>
      <c r="B42" s="197" t="str">
        <f>IF(B41="","",IF(B41&lt;=1.5,"การดำเนินงานต้องปรับปรุงเร่งด่วน",IF(B41&lt;=2.5,"การดำเนินงานต้องปรับปรุง",IF(B41&lt;=3.5,"การดำเนินงานระดับพอใช้",IF(B41&lt;=4.5,"การดำเนินงานระดับดี",IF(B41&lt;=5,"การดำเนินงานระดับดีมาก","ข้อมูลผิด"))))))</f>
        <v>การดำเนินงานต้องปรับปรุง</v>
      </c>
      <c r="C42" s="197" t="str">
        <f>IF(C41="","",IF(C41&lt;=1.5,"การดำเนินงานต้องปรับปรุงเร่งด่วน",IF(C41&lt;=2.5,"การดำเนินงานต้องปรับปรุง",IF(C41&lt;=3.5,"การดำเนินงานระดับพอใช้",IF(C41&lt;=4.5,"การดำเนินงานระดับดี",IF(C41&lt;=5,"การดำเนินงานระดับดีมาก","ข้อมูลผิด"))))))</f>
        <v>การดำเนินงานระดับดี</v>
      </c>
      <c r="D42" s="197" t="str">
        <f>IF(D41="","",IF(D41&lt;=1.5,"การดำเนินงานต้องปรับปรุงเร่งด่วน",IF(D41&lt;=2.5,"การดำเนินงานต้องปรับปรุง",IF(D41&lt;=3.5,"การดำเนินงานระดับพอใช้",IF(D41&lt;=4.5,"การดำเนินงานระดับดี",IF(D41&lt;=5,"การดำเนินงานระดับดีมาก","ข้อมูลผิด"))))))</f>
        <v>การดำเนินงานระดับดี</v>
      </c>
      <c r="E42" s="197" t="str">
        <f>IF(E41="","",IF(E41&lt;=1.5,"การดำเนินงานต้องปรับปรุงเร่งด่วน",IF(E41&lt;=2.5,"การดำเนินงานต้องปรับปรุง",IF(E41&lt;=3.5,"การดำเนินงานระดับพอใช้",IF(E41&lt;=4.5,"การดำเนินงานระดับดี",IF(E41&lt;=5,"การดำเนินงานระดับดีมาก","ข้อมูลผิด"))))))</f>
        <v>การดำเนินงานระดับดี</v>
      </c>
      <c r="F42" s="222"/>
      <c r="G42" s="222"/>
    </row>
  </sheetData>
  <sheetProtection password="CC53" sheet="1"/>
  <mergeCells count="21">
    <mergeCell ref="A2:A7"/>
    <mergeCell ref="B2:E4"/>
    <mergeCell ref="G2:G7"/>
    <mergeCell ref="B5:B7"/>
    <mergeCell ref="C5:C7"/>
    <mergeCell ref="D5:D7"/>
    <mergeCell ref="E5:E7"/>
    <mergeCell ref="A16:A21"/>
    <mergeCell ref="B16:E18"/>
    <mergeCell ref="G16:G21"/>
    <mergeCell ref="B19:B21"/>
    <mergeCell ref="C19:C21"/>
    <mergeCell ref="D19:D21"/>
    <mergeCell ref="E19:E21"/>
    <mergeCell ref="A30:A35"/>
    <mergeCell ref="B30:E32"/>
    <mergeCell ref="G30:G35"/>
    <mergeCell ref="B33:B35"/>
    <mergeCell ref="C33:C35"/>
    <mergeCell ref="D33:D35"/>
    <mergeCell ref="E33:E35"/>
  </mergeCells>
  <printOptions horizontalCentered="1"/>
  <pageMargins left="0.75" right="0.75" top="1.25" bottom="1" header="1" footer="0.8"/>
  <pageSetup horizontalDpi="600" verticalDpi="600" orientation="landscape" paperSize="9" r:id="rId2"/>
  <rowBreaks count="2" manualBreakCount="2">
    <brk id="14" max="6" man="1"/>
    <brk id="28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="120" zoomScaleNormal="120" zoomScalePageLayoutView="0" workbookViewId="0" topLeftCell="A4">
      <selection activeCell="A11" sqref="A11"/>
    </sheetView>
  </sheetViews>
  <sheetFormatPr defaultColWidth="9.00390625" defaultRowHeight="14.25"/>
  <cols>
    <col min="1" max="1" width="20.625" style="30" customWidth="1"/>
    <col min="2" max="5" width="9.25390625" style="30" customWidth="1"/>
    <col min="6" max="6" width="32.125" style="30" customWidth="1"/>
    <col min="7" max="7" width="30.25390625" style="30" customWidth="1"/>
    <col min="8" max="16384" width="9.00390625" style="30" customWidth="1"/>
  </cols>
  <sheetData>
    <row r="1" ht="30" customHeight="1">
      <c r="A1" s="110" t="s">
        <v>151</v>
      </c>
    </row>
    <row r="2" spans="1:7" ht="22.5">
      <c r="A2" s="610" t="s">
        <v>111</v>
      </c>
      <c r="B2" s="607" t="s">
        <v>81</v>
      </c>
      <c r="C2" s="607"/>
      <c r="D2" s="607"/>
      <c r="E2" s="607"/>
      <c r="F2" s="198" t="s">
        <v>29</v>
      </c>
      <c r="G2" s="607" t="s">
        <v>82</v>
      </c>
    </row>
    <row r="3" spans="1:7" ht="12" customHeight="1">
      <c r="A3" s="607"/>
      <c r="B3" s="607"/>
      <c r="C3" s="607"/>
      <c r="D3" s="607"/>
      <c r="E3" s="607"/>
      <c r="F3" s="189" t="s">
        <v>98</v>
      </c>
      <c r="G3" s="607"/>
    </row>
    <row r="4" spans="1:7" ht="12" customHeight="1">
      <c r="A4" s="607"/>
      <c r="B4" s="607"/>
      <c r="C4" s="607"/>
      <c r="D4" s="607"/>
      <c r="E4" s="607"/>
      <c r="F4" s="189" t="s">
        <v>99</v>
      </c>
      <c r="G4" s="607"/>
    </row>
    <row r="5" spans="1:7" ht="12" customHeight="1">
      <c r="A5" s="607"/>
      <c r="B5" s="607" t="s">
        <v>94</v>
      </c>
      <c r="C5" s="607" t="s">
        <v>95</v>
      </c>
      <c r="D5" s="607" t="s">
        <v>96</v>
      </c>
      <c r="E5" s="607" t="s">
        <v>30</v>
      </c>
      <c r="F5" s="189" t="s">
        <v>100</v>
      </c>
      <c r="G5" s="607"/>
    </row>
    <row r="6" spans="1:7" ht="12" customHeight="1">
      <c r="A6" s="607"/>
      <c r="B6" s="607"/>
      <c r="C6" s="607"/>
      <c r="D6" s="607"/>
      <c r="E6" s="607"/>
      <c r="F6" s="189" t="s">
        <v>178</v>
      </c>
      <c r="G6" s="607"/>
    </row>
    <row r="7" spans="1:7" ht="12" customHeight="1">
      <c r="A7" s="607"/>
      <c r="B7" s="607"/>
      <c r="C7" s="607"/>
      <c r="D7" s="607"/>
      <c r="E7" s="607"/>
      <c r="F7" s="190" t="s">
        <v>101</v>
      </c>
      <c r="G7" s="607"/>
    </row>
    <row r="8" spans="1:7" ht="45" customHeight="1">
      <c r="A8" s="168" t="s">
        <v>110</v>
      </c>
      <c r="B8" s="202" t="str">
        <f>IF((COUNTIF(คะแนน!B13:B15,"Error")+COUNTIF(คะแนน!B21:B22,"Error")+COUNTIF(คะแนน!B29:B30,"Error"))&gt;0,"Error",IF(OR(คะแนน!B60=0,COUNT(คะแนน!B13:B15,คะแนน!B21:B22,คะแนน!B29:B30)=0),"","-"))</f>
        <v>-</v>
      </c>
      <c r="C8" s="202">
        <f>IF((COUNTIF(คะแนน!B13:B15,"Error")+COUNTIF(คะแนน!B21:B22,"Error")+COUNTIF(คะแนน!B29:B30,"Error"))&gt;0,"Error",IF(OR(คะแนน!B60=0,COUNT(คะแนน!B13:B14,คะแนน!B21:B22,คะแนน!B29:B30)=0),"",SUM(คะแนน!B13:B14,คะแนน!B21:B22,คะแนน!B29:B30)/IF(COUNT(คะแนน!B13:B14,คะแนน!B21:B22,คะแนน!B29:B30)=0,1,COUNT(คะแนน!B13:B14,คะแนน!B21:B22,คะแนน!B29:B30))))</f>
        <v>4.5</v>
      </c>
      <c r="D8" s="202">
        <f>IF((COUNTIF(คะแนน!B13:B15,"Error")+COUNTIF(คะแนน!B21:B22,"Error")+COUNTIF(คะแนน!B29:B30,"Error"))&gt;0,"Error",IF(OR(คะแนน!B60=0,COUNT(คะแนน!B15)=0),"",SUM(คะแนน!B15)/IF(COUNT(คะแนน!B15)=0,1,COUNT(คะแนน!B15))))</f>
        <v>4</v>
      </c>
      <c r="E8" s="202">
        <f>IF(COUNTIF(B8:D8,"Error")&gt;0,"Error",IF(SUM(B8:D8)=0,"",SUM(คะแนน!B13:B15,คะแนน!B21:B22,คะแนน!B29:B30)/IF(COUNT(คะแนน!B13:B15,คะแนน!B21:B22,คะแนน!B29:B30)=0,1,COUNT(คะแนน!B13:B15,คะแนน!B21:B22,คะแนน!B29:B30))))</f>
        <v>4.428571428571429</v>
      </c>
      <c r="F8" s="201" t="str">
        <f>IF(E8="","",IF(E8&lt;=1.5,"การดำเนินงานต้องปรับปรุงเร่งด่วน",IF(E8&lt;=2.5,"การดำเนินงานต้องปรับปรุง",IF(E8&lt;=3.5,"การดำเนินงานระดับพอใช้",IF(E8&lt;=4.5,"การดำเนินงานระดับดี",IF(E8&lt;=5,"การดำเนินงานระดับดีมาก","ข้อมูลผิด"))))))</f>
        <v>การดำเนินงานระดับดี</v>
      </c>
      <c r="G8" s="203"/>
    </row>
    <row r="9" spans="1:7" ht="45" customHeight="1">
      <c r="A9" s="201" t="s">
        <v>108</v>
      </c>
      <c r="B9" s="202">
        <f>IF((COUNTIF(คะแนน!B4,"Error")+COUNTIF(คะแนน!B8,"Error")+COUNTIF(คะแนน!B11:B12,"Error")+COUNTIF(คะแนน!B23,"Error")+COUNTIF(คะแนน!B35,"Error")+COUNTIF(คะแนน!B38,"Error")+COUNTIF(คะแนน!B40:B41,"Error")+COUNTIF(คะแนน!B45,"Error"))&gt;0,"Error",IF(OR(คะแนน!B60=0,COUNT(คะแนน!B12)=0),"",SUM(คะแนน!B12)/IF(COUNT(คะแนน!B12)=0,1,COUNT(คะแนน!B12))))</f>
        <v>5</v>
      </c>
      <c r="C9" s="202">
        <f>IF((COUNTIF(คะแนน!B4,"Error")+COUNTIF(คะแนน!B8,"Error")+COUNTIF(คะแนน!B11:B12,"Error")+COUNTIF(คะแนน!B23,"Error")+COUNTIF(คะแนน!B35,"Error")+COUNTIF(คะแนน!B38,"Error")+COUNTIF(คะแนน!B40:B41,"Error")+COUNTIF(คะแนน!B45,"Error"))&gt;0,"Error",IF(OR(คะแนน!B60=0,COUNT(คะแนน!B4,คะแนน!B8,คะแนน!B11,คะแนน!B23,คะแนน!B35,คะแนน!B38,คะแนน!B40:B41,คะแนน!B45)=0),"",SUM(คะแนน!B4,คะแนน!B8,คะแนน!B11,คะแนน!B23,คะแนน!B35,คะแนน!B38,คะแนน!B40:B41,คะแนน!B45)/IF(COUNT(คะแนน!B4,คะแนน!B8,คะแนน!B11,คะแนน!B23,คะแนน!B35,คะแนน!B38,คะแนน!B40:B41,คะแนน!B45)=0,1,COUNT(คะแนน!B4,คะแนน!B8,คะแนน!B11,คะแนน!B23,คะแนน!B35,คะแนน!B38,คะแนน!B40:B41,คะแนน!B45))))</f>
        <v>4.444444444444445</v>
      </c>
      <c r="D9" s="202"/>
      <c r="E9" s="202">
        <f>IF(COUNTIF(B9:D9,"Error")&gt;0,"Error",IF(SUM(B9:D9)=0,"",SUM(คะแนน!B4,คะแนน!B8,คะแนน!B11:B12,คะแนน!B23,คะแนน!B35,คะแนน!B38,คะแนน!B40:B41,คะแนน!B45)/IF(COUNT(คะแนน!B4,คะแนน!B8,คะแนน!B11:B12,คะแนน!B23,คะแนน!B35,คะแนน!B38,คะแนน!B40:B41,คะแนน!B45)=0,1,COUNT(คะแนน!B4,คะแนน!B8,คะแนน!B11:B12,คะแนน!B23,คะแนน!B35,คะแนน!B38,คะแนน!B40:B41,คะแนน!B45))))</f>
        <v>4.5</v>
      </c>
      <c r="F9" s="201" t="str">
        <f>IF(E9="","",IF(E9&lt;=1.5,"การดำเนินงานต้องปรับปรุงเร่งด่วน",IF(E9&lt;=2.5,"การดำเนินงานต้องปรับปรุง",IF(E9&lt;=3.5,"การดำเนินงานระดับพอใช้",IF(E9&lt;=4.5,"การดำเนินงานระดับดี",IF(E9&lt;=5,"การดำเนินงานระดับดีมาก","ข้อมูลผิด"))))))</f>
        <v>การดำเนินงานระดับดี</v>
      </c>
      <c r="G9" s="201" t="s">
        <v>92</v>
      </c>
    </row>
    <row r="10" spans="1:7" ht="45" customHeight="1">
      <c r="A10" s="201" t="s">
        <v>109</v>
      </c>
      <c r="B10" s="202">
        <f>IF((COUNTIF(คะแนน!B25,"Error")+COUNTIF(คะแนน!B44,"Error"))&gt;0,"Error",IF(OR(คะแนน!B60=0,COUNT(คะแนน!B25,คะแนน!B44)=0),"",SUM(คะแนน!B25)/IF(COUNT(คะแนน!B25)=0,1,COUNT(คะแนน!B25))))</f>
        <v>5</v>
      </c>
      <c r="C10" s="202">
        <f>IF((COUNTIF(คะแนน!B25,"Error")+COUNTIF(คะแนน!B44,"Error"))&gt;0,"Error",IF(OR(คะแนน!B60=0,COUNT(คะแนน!B25,คะแนน!B44)=0),"",SUM(คะแนน!B44)/IF(COUNT(คะแนน!B44)=0,1,COUNT(คะแนน!B44))))</f>
        <v>4</v>
      </c>
      <c r="D10" s="202" t="str">
        <f>IF((COUNTIF(คะแนน!B25,"Error")+COUNTIF(คะแนน!B44,"Error"))&gt;0,"Error",IF(OR(คะแนน!B60=0,COUNT(คะแนน!B25,คะแนน!B44)=0),"","-"))</f>
        <v>-</v>
      </c>
      <c r="E10" s="202">
        <f>IF(COUNTIF(B10:D10,"Error")&gt;0,"Error",IF(SUM(B10:D10)=0,"",SUM(คะแนน!B25,คะแนน!B44)/IF(COUNT(คะแนน!B25,คะแนน!B44)=0,1,COUNT(คะแนน!B25,คะแนน!B44))))</f>
        <v>4.5</v>
      </c>
      <c r="F10" s="201" t="str">
        <f>IF(E10="","",IF(E10&lt;=1.5,"การดำเนินงานต้องปรับปรุงเร่งด่วน",IF(E10&lt;=2.5,"การดำเนินงานต้องปรับปรุง",IF(E10&lt;=3.5,"การดำเนินงานระดับพอใช้",IF(E10&lt;=4.5,"การดำเนินงานระดับดี",IF(E10&lt;=5,"การดำเนินงานระดับดีมาก","ข้อมูลผิด"))))))</f>
        <v>การดำเนินงานระดับดี</v>
      </c>
      <c r="G10" s="203"/>
    </row>
    <row r="11" spans="1:7" ht="45" customHeight="1">
      <c r="A11" s="168" t="s">
        <v>112</v>
      </c>
      <c r="B11" s="202">
        <f>IF((COUNTIF(คะแนน!B9:B10,"Error")+COUNTIF(คะแนน!B24,"Error")+COUNTIF(คะแนน!B39,"Error"))&gt;0,"Error",IF(OR(คะแนน!B60=0,COUNT(คะแนน!B9:B10)=0),"",SUM(คะแนน!B9:B10)/IF(COUNT(คะแนน!B9:B10)=0,1,COUNT(คะแนน!B9:B10))))</f>
        <v>0</v>
      </c>
      <c r="C11" s="202">
        <f>IF((COUNTIF(คะแนน!B9:B10,"Error")+COUNTIF(คะแนน!B24,"Error")+COUNTIF(คะแนน!B39,"Error"))&gt;0,"Error",IF(OR(คะแนน!B60=0,COUNT(คะแนน!B24,คะแนน!B39)=0),"",SUM(คะแนน!B24,คะแนน!B39)/IF(COUNT(คะแนน!B24,คะแนน!B39)=0,1,COUNT(คะแนน!B24,คะแนน!B39))))</f>
        <v>4</v>
      </c>
      <c r="D11" s="202"/>
      <c r="E11" s="202">
        <f>IF(COUNTIF(B11:D11,"Error")&gt;0,"Error",IF(SUM(B11:D11)=0,"",SUM(คะแนน!B9:B10,คะแนน!B24,คะแนน!B39)/IF(COUNT(คะแนน!B9:B10,คะแนน!B24,คะแนน!B39)=0,1,COUNT(คะแนน!B9:B10,คะแนน!B24,คะแนน!B39))))</f>
        <v>2</v>
      </c>
      <c r="F11" s="201" t="str">
        <f>IF(E11="","",IF(E11&lt;=1.5,"การดำเนินงานต้องปรับปรุงเร่งด่วน",IF(E11&lt;=2.5,"การดำเนินงานต้องปรับปรุง",IF(E11&lt;=3.5,"การดำเนินงานระดับพอใช้",IF(E11&lt;=4.5,"การดำเนินงานระดับดี",IF(E11&lt;=5,"การดำเนินงานระดับดีมาก","ข้อมูลผิด"))))))</f>
        <v>การดำเนินงานต้องปรับปรุง</v>
      </c>
      <c r="G11" s="203"/>
    </row>
    <row r="12" spans="1:7" ht="45" customHeight="1">
      <c r="A12" s="168" t="s">
        <v>113</v>
      </c>
      <c r="B12" s="202">
        <f>IF(COUNTIF(B8:B11,"Error")&gt;0,"Error",IF(SUM(B8:B11)=0,"",SUM(คะแนน!B9:B10,คะแนน!B12,คะแนน!B25)/IF(COUNT(คะแนน!B9:B10,คะแนน!B12,คะแนน!B25)=0,1,COUNT(คะแนน!B9:B10,คะแนน!B12,คะแนน!B25))))</f>
        <v>2.5</v>
      </c>
      <c r="C12" s="202">
        <f>IF(COUNTIF(C8:C11,"Error")&gt;0,"Error",IF(SUM(C8:C11)=0,"",SUM(คะแนน!B4,คะแนน!B8,คะแนน!B11,คะแนน!B13:B14,คะแนน!B21:B24,คะแนน!B29:B30,คะแนน!B35,คะแนน!B38:B41,คะแนน!B44:B45)/IF(COUNT(คะแนน!B4,คะแนน!B8,คะแนน!B11,คะแนน!B13:B14,คะแนน!B21:B24,คะแนน!B29:B30,คะแนน!B35,คะแนน!B38:B41,คะแนน!B44:B45)=0,1,COUNT(คะแนน!B4,คะแนน!B8,คะแนน!B11,คะแนน!B13:B14,คะแนน!B21:B24,คะแนน!B29:B30,คะแนน!B35,คะแนน!B38:B41,คะแนน!B44:B45))))</f>
        <v>4.388888888888889</v>
      </c>
      <c r="D12" s="202">
        <f>IF(COUNTIF(D8:D11,"Error")&gt;0,"Error",IF(SUM(D8:D11)=0,"",SUM(คะแนน!B15)/IF(COUNT(คะแนน!B15)=0,1,COUNT(คะแนน!B15))))</f>
        <v>4</v>
      </c>
      <c r="E12" s="202">
        <f>IF(COUNTIF(E8:E11,"Error")&gt;0,"Error",IF(SUM(E8:E11)=0,"",SUM(คะแนน!B4,คะแนน!B8:B15,คะแนน!B21:B25,คะแนน!B29:B30,คะแนน!B35,คะแนน!B38:B41,คะแนน!B44:B45)/IF(COUNT(คะแนน!B4,คะแนน!B8:B15,คะแนน!B21:B25,คะแนน!B29:B30,คะแนน!B35,คะแนน!B38:B41,คะแนน!B44:B45)=0,1,COUNT(คะแนน!B4,คะแนน!B8:B15,คะแนน!B21:B25,คะแนน!B29:B30,คะแนน!B35,คะแนน!B38:B41,คะแนน!B44:B45))))</f>
        <v>4.043478260869565</v>
      </c>
      <c r="F12" s="201" t="str">
        <f>IF(E12="","",IF(E12&lt;=1.5,"การดำเนินงานต้องปรับปรุงเร่งด่วน",IF(E12&lt;=2.5,"การดำเนินงานต้องปรับปรุง",IF(E12&lt;=3.5,"การดำเนินงานระดับพอใช้",IF(E12&lt;=4.5,"การดำเนินงานระดับดี",IF(E12&lt;=5,"การดำเนินงานระดับดีมาก","ข้อมูลผิด"))))))</f>
        <v>การดำเนินงานระดับดี</v>
      </c>
      <c r="G12" s="203"/>
    </row>
    <row r="13" spans="1:7" ht="71.25" customHeight="1">
      <c r="A13" s="268" t="s">
        <v>29</v>
      </c>
      <c r="B13" s="191" t="str">
        <f>IF(B12="","",IF(B12&lt;=1.5,"การดำเนินงานต้องปรับปรุงเร่งด่วน",IF(B12&lt;=2.5,"การดำเนินงานต้องปรับปรุง",IF(B12&lt;=3.5,"การดำเนินงานระดับพอใช้",IF(B12&lt;=4.5,"การดำเนินงานระดับดี",IF(B12&lt;=5,"การดำเนินงานระดับดีมาก","ข้อมูลผิด"))))))</f>
        <v>การดำเนินงานต้องปรับปรุง</v>
      </c>
      <c r="C13" s="191" t="str">
        <f>IF(C12="","",IF(C12&lt;=1.5,"การดำเนินงานต้องปรับปรุงเร่งด่วน",IF(C12&lt;=2.5,"การดำเนินงานต้องปรับปรุง",IF(C12&lt;=3.5,"การดำเนินงานระดับพอใช้",IF(C12&lt;=4.5,"การดำเนินงานระดับดี",IF(C12&lt;=5,"การดำเนินงานระดับดีมาก","ข้อมูลผิด"))))))</f>
        <v>การดำเนินงานระดับดี</v>
      </c>
      <c r="D13" s="191" t="str">
        <f>IF(D12="","",IF(D12&lt;=1.5,"การดำเนินงานต้องปรับปรุงเร่งด่วน",IF(D12&lt;=2.5,"การดำเนินงานต้องปรับปรุง",IF(D12&lt;=3.5,"การดำเนินงานระดับพอใช้",IF(D12&lt;=4.5,"การดำเนินงานระดับดี",IF(D12&lt;=5,"การดำเนินงานระดับดีมาก","ข้อมูลผิด"))))))</f>
        <v>การดำเนินงานระดับดี</v>
      </c>
      <c r="E13" s="191" t="str">
        <f>IF(E12="","",IF(E12&lt;=1.5,"การดำเนินงานต้องปรับปรุงเร่งด่วน",IF(E12&lt;=2.5,"การดำเนินงานต้องปรับปรุง",IF(E12&lt;=3.5,"การดำเนินงานระดับพอใช้",IF(E12&lt;=4.5,"การดำเนินงานระดับดี",IF(E12&lt;=5,"การดำเนินงานระดับดีมาก","ข้อมูลผิด"))))))</f>
        <v>การดำเนินงานระดับดี</v>
      </c>
      <c r="F13" s="203"/>
      <c r="G13" s="203"/>
    </row>
    <row r="14" spans="1:7" ht="30" customHeight="1">
      <c r="A14" s="204" t="s">
        <v>151</v>
      </c>
      <c r="B14" s="205"/>
      <c r="C14" s="205"/>
      <c r="D14" s="205"/>
      <c r="E14" s="205"/>
      <c r="F14" s="205"/>
      <c r="G14" s="205"/>
    </row>
    <row r="15" spans="1:7" ht="22.5">
      <c r="A15" s="609" t="s">
        <v>111</v>
      </c>
      <c r="B15" s="606" t="s">
        <v>81</v>
      </c>
      <c r="C15" s="606"/>
      <c r="D15" s="606"/>
      <c r="E15" s="606"/>
      <c r="F15" s="206" t="s">
        <v>29</v>
      </c>
      <c r="G15" s="606" t="s">
        <v>82</v>
      </c>
    </row>
    <row r="16" spans="1:7" ht="12" customHeight="1">
      <c r="A16" s="606"/>
      <c r="B16" s="606"/>
      <c r="C16" s="606"/>
      <c r="D16" s="606"/>
      <c r="E16" s="606"/>
      <c r="F16" s="192" t="s">
        <v>98</v>
      </c>
      <c r="G16" s="606"/>
    </row>
    <row r="17" spans="1:7" ht="12" customHeight="1">
      <c r="A17" s="606"/>
      <c r="B17" s="606"/>
      <c r="C17" s="606"/>
      <c r="D17" s="606"/>
      <c r="E17" s="606"/>
      <c r="F17" s="192" t="s">
        <v>99</v>
      </c>
      <c r="G17" s="606"/>
    </row>
    <row r="18" spans="1:7" ht="12" customHeight="1">
      <c r="A18" s="606"/>
      <c r="B18" s="606" t="s">
        <v>94</v>
      </c>
      <c r="C18" s="606" t="s">
        <v>95</v>
      </c>
      <c r="D18" s="606" t="s">
        <v>96</v>
      </c>
      <c r="E18" s="606" t="s">
        <v>30</v>
      </c>
      <c r="F18" s="192" t="s">
        <v>100</v>
      </c>
      <c r="G18" s="606"/>
    </row>
    <row r="19" spans="1:7" ht="12" customHeight="1">
      <c r="A19" s="606"/>
      <c r="B19" s="606"/>
      <c r="C19" s="606"/>
      <c r="D19" s="606"/>
      <c r="E19" s="606"/>
      <c r="F19" s="192" t="s">
        <v>178</v>
      </c>
      <c r="G19" s="606"/>
    </row>
    <row r="20" spans="1:7" ht="12" customHeight="1">
      <c r="A20" s="606"/>
      <c r="B20" s="606"/>
      <c r="C20" s="606"/>
      <c r="D20" s="606"/>
      <c r="E20" s="606"/>
      <c r="F20" s="193" t="s">
        <v>101</v>
      </c>
      <c r="G20" s="606"/>
    </row>
    <row r="21" spans="1:7" ht="45" customHeight="1">
      <c r="A21" s="212" t="s">
        <v>110</v>
      </c>
      <c r="B21" s="210">
        <f>IF((COUNTIF(คะแนน!B13:B19,"Error")+COUNTIF(คะแนน!B21:B22,"Error")+COUNTIF(คะแนน!B29:B34,"Error"))&gt;0,"Error",IF(OR(คะแนน!B61=0,COUNT(คะแนน!B13:B19,คะแนน!B21:B22,คะแนน!B29:B34)=0),"","-"))</f>
      </c>
      <c r="C21" s="210">
        <f>IF((COUNTIF(คะแนน!B13:B19,"Error")+COUNTIF(คะแนน!B21:B22,"Error")+COUNTIF(คะแนน!B29:B34,"Error"))&gt;0,"Error",IF(OR(คะแนน!B61=0,COUNT(คะแนน!B13:B14,คะแนน!B21:B22,คะแนน!B29:B30)=0),"",SUM(คะแนน!B13:B14,คะแนน!B21:B22,คะแนน!B29:B30)/IF(COUNT(คะแนน!B13:B14,คะแนน!B21:B22,คะแนน!B29:B30)=0,1,COUNT(คะแนน!B13:B14,คะแนน!B21:B22,คะแนน!B29:B30))))</f>
      </c>
      <c r="D21" s="210">
        <f>IF((COUNTIF(คะแนน!B13:B19,"Error")+COUNTIF(คะแนน!B21:B22,"Error")+COUNTIF(คะแนน!B29:B34,"Error"))&gt;0,"Error",IF(OR(คะแนน!B61=0,COUNT(คะแนน!B15:B19,คะแนน!B31:B34)=0),"",SUM(คะแนน!B15:B19,คะแนน!B31:B34)/IF(COUNT(คะแนน!B15:B19,คะแนน!B31:B34)=0,1,COUNT(คะแนน!B15:B19,คะแนน!B31:B34))))</f>
      </c>
      <c r="E21" s="210">
        <f>IF(COUNTIF(B21:D21,"Error")&gt;0,"Error",IF(SUM(B21:D21)=0,"",SUM(คะแนน!B13:B19,คะแนน!B21:B22,คะแนน!B29:B34)/IF(COUNT(คะแนน!B13:B19,คะแนน!B21:B22,คะแนน!B29:B34)=0,1,COUNT(คะแนน!B13:B19,คะแนน!B21:B22,คะแนน!B29:B34))))</f>
      </c>
      <c r="F21" s="209">
        <f>IF(E21="","",IF(E21&lt;=1.5,"การดำเนินงานต้องปรับปรุงเร่งด่วน",IF(E21&lt;=2.5,"การดำเนินงานต้องปรับปรุง",IF(E21&lt;=3.5,"การดำเนินงานระดับพอใช้",IF(E21&lt;=4.5,"การดำเนินงานระดับดี",IF(E21&lt;=5,"การดำเนินงานระดับดีมาก","ข้อมูลผิด"))))))</f>
      </c>
      <c r="G21" s="213"/>
    </row>
    <row r="22" spans="1:7" ht="45" customHeight="1">
      <c r="A22" s="209" t="s">
        <v>108</v>
      </c>
      <c r="B22" s="210">
        <f>IF((COUNTIF(คะแนน!B4:B8,"Error")+COUNTIF(คะแนน!B11:B12,"Error")+COUNTIF(คะแนน!B23,"Error")+COUNTIF(คะแนน!B35:B38,"Error")+COUNTIF(คะแนน!B40:B43,"Error")+COUNTIF(คะแนน!B45,"Error"))&gt;0,"Error",IF(OR(คะแนน!B61=0,COUNT(คะแนน!B12)=0),"",SUM(คะแนน!B12)/IF(COUNT(คะแนน!B12)=0,1,COUNT(คะแนน!B12))))</f>
      </c>
      <c r="C22" s="210">
        <f>IF((COUNTIF(คะแนน!B4:B8,"Error")+COUNTIF(คะแนน!B11:B12,"Error")+COUNTIF(คะแนน!B23,"Error")+COUNTIF(คะแนน!B35:B38,"Error")+COUNTIF(คะแนน!B40:B43,"Error")+COUNTIF(คะแนน!B45,"Error"))&gt;0,"Error",IF(OR(คะแนน!B61=0,COUNT(คะแนน!B4,คะแนน!B8,คะแนน!B11,คะแนน!B23,คะแนน!B35,คะแนน!B38,คะแนน!B40:B41,คะแนน!B45)=0),"",SUM(คะแนน!B4,คะแนน!B8,คะแนน!B11,คะแนน!B23,คะแนน!B35,คะแนน!B38,คะแนน!B40:B41,คะแนน!B45)/IF(COUNT(คะแนน!B4,คะแนน!B8,คะแนน!B11,คะแนน!B23,คะแนน!B35,คะแนน!B38,คะแนน!B40:B41,คะแนน!B45)=0,1,COUNT(คะแนน!B4,คะแนน!B8,คะแนน!B11,คะแนน!B23,คะแนน!B35,คะแนน!B38,คะแนน!B40:B41,คะแนน!B45))))</f>
      </c>
      <c r="D22" s="210">
        <f>IF((COUNTIF(คะแนน!B4:B8,"Error")+COUNTIF(คะแนน!B11:B12,"Error")+COUNTIF(คะแนน!B23,"Error")+COUNTIF(คะแนน!B35:B38,"Error")+COUNTIF(คะแนน!B40:B43,"Error")+COUNTIF(คะแนน!B45,"Error"))&gt;0,"Error",IF(OR(คะแนน!B61=0,COUNT(คะแนน!B5:B7,คะแนน!B36:B37,คะแนน!B42:B43)=0),"",SUM(คะแนน!B5:B7,คะแนน!B36:B37,คะแนน!B42:B43)/IF(COUNT(คะแนน!B5:B7,คะแนน!B36:B37,คะแนน!B42:B43)=0,1,COUNT(คะแนน!B5:B7,คะแนน!B36:B37,คะแนน!B42:B43))))</f>
      </c>
      <c r="E22" s="210">
        <f>IF(COUNTIF(B22:D22,"Error")&gt;0,"Error",IF(SUM(B22:D22)=0,"",SUM(คะแนน!B4:B8,คะแนน!B11:B12,คะแนน!B23,คะแนน!B35:B38,คะแนน!B40:B43,คะแนน!B45)/IF(COUNT(คะแนน!B4:B8,คะแนน!B11:B12,คะแนน!B23,คะแนน!B35:B38,คะแนน!B40:B43,คะแนน!B45)=0,1,COUNT(คะแนน!B4:B8,คะแนน!B11:B12,คะแนน!B23,คะแนน!B35:B38,คะแนน!B40:B43,คะแนน!B45))))</f>
      </c>
      <c r="F22" s="209">
        <f>IF(E22="","",IF(E22&lt;=1.5,"การดำเนินงานต้องปรับปรุงเร่งด่วน",IF(E22&lt;=2.5,"การดำเนินงานต้องปรับปรุง",IF(E22&lt;=3.5,"การดำเนินงานระดับพอใช้",IF(E22&lt;=4.5,"การดำเนินงานระดับดี",IF(E22&lt;=5,"การดำเนินงานระดับดีมาก","ข้อมูลผิด"))))))</f>
      </c>
      <c r="G22" s="209" t="s">
        <v>92</v>
      </c>
    </row>
    <row r="23" spans="1:7" ht="45" customHeight="1">
      <c r="A23" s="209" t="s">
        <v>109</v>
      </c>
      <c r="B23" s="210">
        <f>IF((COUNTIF(คะแนน!B25,"Error")+COUNTIF(คะแนน!B44,"Error"))&gt;0,"Error",IF(OR(คะแนน!B61=0,COUNT(คะแนน!B25,คะแนน!B44)=0),"",SUM(คะแนน!B25)/IF(COUNT(คะแนน!B25)=0,1,COUNT(คะแนน!B25))))</f>
      </c>
      <c r="C23" s="210">
        <f>IF((COUNTIF(คะแนน!B25,"Error")+COUNTIF(คะแนน!B44,"Error"))&gt;0,"Error",IF(OR(คะแนน!B61=0,COUNT(คะแนน!B25,คะแนน!B44)=0),"",SUM(คะแนน!B44)/IF(COUNT(คะแนน!B44)=0,1,COUNT(คะแนน!B44))))</f>
      </c>
      <c r="D23" s="210">
        <f>IF((COUNTIF(คะแนน!B25,"Error")+COUNTIF(คะแนน!B44,"Error"))&gt;0,"Error",IF(OR(คะแนน!B61=0,COUNT(คะแนน!B25,คะแนน!B44)=0),"","-"))</f>
      </c>
      <c r="E23" s="210">
        <f>IF(COUNTIF(B23:D23,"Error")&gt;0,"Error",IF(SUM(B23:D23)=0,"",SUM(คะแนน!B25,คะแนน!B44)/IF(COUNT(คะแนน!B25,คะแนน!B44)=0,1,COUNT(คะแนน!B25,คะแนน!B44))))</f>
      </c>
      <c r="F23" s="209">
        <f>IF(E23="","",IF(E23&lt;=1.5,"การดำเนินงานต้องปรับปรุงเร่งด่วน",IF(E23&lt;=2.5,"การดำเนินงานต้องปรับปรุง",IF(E23&lt;=3.5,"การดำเนินงานระดับพอใช้",IF(E23&lt;=4.5,"การดำเนินงานระดับดี",IF(E23&lt;=5,"การดำเนินงานระดับดีมาก","ข้อมูลผิด"))))))</f>
      </c>
      <c r="G23" s="213"/>
    </row>
    <row r="24" spans="1:7" ht="45" customHeight="1">
      <c r="A24" s="212" t="s">
        <v>112</v>
      </c>
      <c r="B24" s="210">
        <f>IF((COUNTIF(คะแนน!B9:B10,"Error")+COUNTIF(คะแนน!B20,"Error")+COUNTIF(คะแนน!B24,"Error")+COUNTIF(คะแนน!B26:B28,"Error")+COUNTIF(คะแนน!B39,"Error"))&gt;0,"Error",IF(OR(คะแนน!B61=0,COUNT(คะแนน!B9:B10)=0),"",SUM(คะแนน!B9:B10)/IF(COUNT(คะแนน!B9:B10)=0,1,COUNT(คะแนน!B9:B10))))</f>
      </c>
      <c r="C24" s="210">
        <f>IF((COUNTIF(คะแนน!B9:B10,"Error")+COUNTIF(คะแนน!B20,"Error")+COUNTIF(คะแนน!B24,"Error")+COUNTIF(คะแนน!B26:B28,"Error")+COUNTIF(คะแนน!B39,"Error"))&gt;0,"Error",IF(OR(คะแนน!B61=0,COUNT(คะแนน!B24,คะแนน!B39)=0),"",SUM(คะแนน!B24,คะแนน!B39)/IF(COUNT(คะแนน!B24,คะแนน!B39)=0,1,COUNT(คะแนน!B24,คะแนน!B39))))</f>
      </c>
      <c r="D24" s="210">
        <f>IF((COUNTIF(คะแนน!B9:B10,"Error")+COUNTIF(คะแนน!B20,"Error")+COUNTIF(คะแนน!B24,"Error")+COUNTIF(คะแนน!B26:B28,"Error")+COUNTIF(คะแนน!B39,"Error"))&gt;0,"Error",IF(OR(คะแนน!B61=0,COUNT(คะแนน!B20,คะแนน!B26:B28)=0),"",SUM(คะแนน!B20,คะแนน!B26:B28)/IF(COUNT(คะแนน!B20,คะแนน!B26:B28)=0,1,COUNT(คะแนน!B20,คะแนน!B26:B28))))</f>
      </c>
      <c r="E24" s="210">
        <f>IF(COUNTIF(B24:D24,"Error")&gt;0,"Error",IF(SUM(B24:D24)=0,"",SUM(คะแนน!B9:B10,คะแนน!B20,คะแนน!B24,คะแนน!B26:B28,คะแนน!B39)/IF(COUNT(คะแนน!B9:B10,คะแนน!B20,คะแนน!B24,คะแนน!B26:B28,คะแนน!B39)=0,1,COUNT(คะแนน!B9:B10,คะแนน!B20,คะแนน!B24,คะแนน!B26:B28,คะแนน!B39))))</f>
      </c>
      <c r="F24" s="209">
        <f>IF(E24="","",IF(E24&lt;=1.5,"การดำเนินงานต้องปรับปรุงเร่งด่วน",IF(E24&lt;=2.5,"การดำเนินงานต้องปรับปรุง",IF(E24&lt;=3.5,"การดำเนินงานระดับพอใช้",IF(E24&lt;=4.5,"การดำเนินงานระดับดี",IF(E24&lt;=5,"การดำเนินงานระดับดีมาก","ข้อมูลผิด"))))))</f>
      </c>
      <c r="G24" s="213"/>
    </row>
    <row r="25" spans="1:7" ht="45" customHeight="1">
      <c r="A25" s="212" t="s">
        <v>113</v>
      </c>
      <c r="B25" s="210">
        <f>IF(COUNTIF(B21:B24,"Error")&gt;0,"Error",IF(SUM(B21:B24)=0,"",SUM(คะแนน!B9:B10,คะแนน!B12,คะแนน!B25)/IF(COUNT(คะแนน!B9:B10,คะแนน!B12,คะแนน!B25)=0,1,COUNT(คะแนน!B9:B10,คะแนน!B12,คะแนน!B25))))</f>
      </c>
      <c r="C25" s="210">
        <f>IF(COUNTIF(C21:C24,"Error")&gt;0,"Error",IF(SUM(C21:C24)=0,"",SUM(คะแนน!B4,คะแนน!B8,คะแนน!B11,คะแนน!B13:B14,คะแนน!B21:B24,คะแนน!B29:B30,คะแนน!B35,คะแนน!B38:B41,คะแนน!B44:B45)/IF(COUNT(คะแนน!B4,คะแนน!B8,คะแนน!B11,คะแนน!B13:B14,คะแนน!B21:B24,คะแนน!B29:B30,คะแนน!B35,คะแนน!B38:B41,คะแนน!B44:B45)=0,1,COUNT(คะแนน!B4,คะแนน!B8,คะแนน!B11,คะแนน!B13:B14,คะแนน!B21:B24,คะแนน!B29:B30,คะแนน!B35,คะแนน!B38:B41,คะแนน!B44:B45))))</f>
      </c>
      <c r="D25" s="210">
        <f>IF(COUNTIF(D21:D24,"Error")&gt;0,"Error",IF(SUM(D21:D24)=0,"",SUM(คะแนน!B5:B7,คะแนน!B15:B20,คะแนน!B26:B28,คะแนน!B31:B34,คะแนน!B36:B37,คะแนน!B42:B43)/IF(COUNT(คะแนน!B5:B7,คะแนน!B15:B20,คะแนน!B26:B28,คะแนน!B31:B34,คะแนน!B36:B37,คะแนน!B42:B43)=0,1,COUNT(คะแนน!B5:B7,คะแนน!B15:B20,คะแนน!B26:B28,คะแนน!B31:B34,คะแนน!B36:B37,คะแนน!B42:B43))))</f>
      </c>
      <c r="E25" s="210">
        <f>IF(COUNTIF(E21:E24,"Error")&gt;0,"Error",IF(SUM(E21:E24)=0,"",SUM(คะแนน!B4:B45)/IF(COUNT(คะแนน!B4:B45)=0,1,COUNT(คะแนน!B4:B45))))</f>
      </c>
      <c r="F25" s="209">
        <f>IF(E25="","",IF(E25&lt;=1.5,"การดำเนินงานต้องปรับปรุงเร่งด่วน",IF(E25&lt;=2.5,"การดำเนินงานต้องปรับปรุง",IF(E25&lt;=3.5,"การดำเนินงานระดับพอใช้",IF(E25&lt;=4.5,"การดำเนินงานระดับดี",IF(E25&lt;=5,"การดำเนินงานระดับดีมาก","ข้อมูลผิด"))))))</f>
      </c>
      <c r="G25" s="213"/>
    </row>
    <row r="26" spans="1:7" ht="71.25" customHeight="1">
      <c r="A26" s="269" t="s">
        <v>29</v>
      </c>
      <c r="B26" s="194">
        <f>IF(B25="","",IF(B25&lt;=1.5,"การดำเนินงานต้องปรับปรุงเร่งด่วน",IF(B25&lt;=2.5,"การดำเนินงานต้องปรับปรุง",IF(B25&lt;=3.5,"การดำเนินงานระดับพอใช้",IF(B25&lt;=4.5,"การดำเนินงานระดับดี",IF(B25&lt;=5,"การดำเนินงานระดับดีมาก","ข้อมูลผิด"))))))</f>
      </c>
      <c r="C26" s="194">
        <f>IF(C25="","",IF(C25&lt;=1.5,"การดำเนินงานต้องปรับปรุงเร่งด่วน",IF(C25&lt;=2.5,"การดำเนินงานต้องปรับปรุง",IF(C25&lt;=3.5,"การดำเนินงานระดับพอใช้",IF(C25&lt;=4.5,"การดำเนินงานระดับดี",IF(C25&lt;=5,"การดำเนินงานระดับดีมาก","ข้อมูลผิด"))))))</f>
      </c>
      <c r="D26" s="194">
        <f>IF(D25="","",IF(D25&lt;=1.5,"การดำเนินงานต้องปรับปรุงเร่งด่วน",IF(D25&lt;=2.5,"การดำเนินงานต้องปรับปรุง",IF(D25&lt;=3.5,"การดำเนินงานระดับพอใช้",IF(D25&lt;=4.5,"การดำเนินงานระดับดี",IF(D25&lt;=5,"การดำเนินงานระดับดีมาก","ข้อมูลผิด"))))))</f>
      </c>
      <c r="E26" s="194">
        <f>IF(E25="","",IF(E25&lt;=1.5,"การดำเนินงานต้องปรับปรุงเร่งด่วน",IF(E25&lt;=2.5,"การดำเนินงานต้องปรับปรุง",IF(E25&lt;=3.5,"การดำเนินงานระดับพอใช้",IF(E25&lt;=4.5,"การดำเนินงานระดับดี",IF(E25&lt;=5,"การดำเนินงานระดับดีมาก","ข้อมูลผิด"))))))</f>
      </c>
      <c r="F26" s="213"/>
      <c r="G26" s="213"/>
    </row>
    <row r="27" spans="1:7" ht="30" customHeight="1">
      <c r="A27" s="214" t="s">
        <v>175</v>
      </c>
      <c r="B27" s="215"/>
      <c r="C27" s="215"/>
      <c r="D27" s="215"/>
      <c r="E27" s="215"/>
      <c r="F27" s="215"/>
      <c r="G27" s="215"/>
    </row>
    <row r="28" spans="1:7" ht="22.5">
      <c r="A28" s="608" t="s">
        <v>111</v>
      </c>
      <c r="B28" s="605" t="s">
        <v>81</v>
      </c>
      <c r="C28" s="605"/>
      <c r="D28" s="605"/>
      <c r="E28" s="605"/>
      <c r="F28" s="216" t="s">
        <v>29</v>
      </c>
      <c r="G28" s="605" t="s">
        <v>82</v>
      </c>
    </row>
    <row r="29" spans="1:7" ht="12" customHeight="1">
      <c r="A29" s="605"/>
      <c r="B29" s="605"/>
      <c r="C29" s="605"/>
      <c r="D29" s="605"/>
      <c r="E29" s="605"/>
      <c r="F29" s="195" t="s">
        <v>98</v>
      </c>
      <c r="G29" s="605"/>
    </row>
    <row r="30" spans="1:7" ht="12" customHeight="1">
      <c r="A30" s="605"/>
      <c r="B30" s="605"/>
      <c r="C30" s="605"/>
      <c r="D30" s="605"/>
      <c r="E30" s="605"/>
      <c r="F30" s="195" t="s">
        <v>99</v>
      </c>
      <c r="G30" s="605"/>
    </row>
    <row r="31" spans="1:7" ht="12" customHeight="1">
      <c r="A31" s="605"/>
      <c r="B31" s="605" t="s">
        <v>94</v>
      </c>
      <c r="C31" s="605" t="s">
        <v>95</v>
      </c>
      <c r="D31" s="605" t="s">
        <v>96</v>
      </c>
      <c r="E31" s="605" t="s">
        <v>30</v>
      </c>
      <c r="F31" s="195" t="s">
        <v>100</v>
      </c>
      <c r="G31" s="605"/>
    </row>
    <row r="32" spans="1:7" ht="12" customHeight="1">
      <c r="A32" s="605"/>
      <c r="B32" s="605"/>
      <c r="C32" s="605"/>
      <c r="D32" s="605"/>
      <c r="E32" s="605"/>
      <c r="F32" s="195" t="s">
        <v>178</v>
      </c>
      <c r="G32" s="605"/>
    </row>
    <row r="33" spans="1:7" ht="12" customHeight="1">
      <c r="A33" s="605"/>
      <c r="B33" s="605"/>
      <c r="C33" s="605"/>
      <c r="D33" s="605"/>
      <c r="E33" s="605"/>
      <c r="F33" s="196" t="s">
        <v>101</v>
      </c>
      <c r="G33" s="605"/>
    </row>
    <row r="34" spans="1:7" ht="45" customHeight="1">
      <c r="A34" s="221" t="s">
        <v>110</v>
      </c>
      <c r="B34" s="220" t="str">
        <f>IF((COUNTIF(คะแนน!B13:V19,"Error")+COUNTIF(คะแนน!B21:V22,"Error")+COUNTIF(คะแนน!B29:V34,"Error"))&gt;0,"Error",IF(OR(คะแนน!B62=0,COUNT(คะแนน!B13:V19,คะแนน!B21:V22,คะแนน!B29:V34)=0),"","-"))</f>
        <v>-</v>
      </c>
      <c r="C34" s="220">
        <f>IF((COUNTIF(คะแนน!B13:V19,"Error")+COUNTIF(คะแนน!B21:V22,"Error")+COUNTIF(คะแนน!B29:V34,"Error"))&gt;0,"Error",IF(OR(คะแนน!B62=0,COUNT(คะแนน!B13:V14,คะแนน!B21:V22,คะแนน!B29:V30)=0),"",SUM(คะแนน!B13:V14,คะแนน!B21:V22,คะแนน!B29:V30)/IF(COUNT(คะแนน!B13:V14,คะแนน!B21:V22,คะแนน!B29:V30)=0,1,COUNT(คะแนน!B13:V14,คะแนน!B21:V22,คะแนน!B29:V30))))</f>
        <v>4.5</v>
      </c>
      <c r="D34" s="220">
        <f>IF((COUNTIF(คะแนน!B13:V19,"Error")+COUNTIF(คะแนน!B21:V22,"Error")+COUNTIF(คะแนน!B29:V34,"Error"))&gt;0,"Error",IF(OR(คะแนน!B62=0,COUNT(คะแนน!B15:V19,คะแนน!B31:V34)=0),"",SUM(คะแนน!B15:V19,คะแนน!B31:V34)/IF(COUNT(คะแนน!B15:V19,คะแนน!B31:V34)=0,1,COUNT(คะแนน!B15:V19,คะแนน!B31:V34))))</f>
        <v>4</v>
      </c>
      <c r="E34" s="220">
        <f>IF(COUNTIF(B34:D34,"Error")&gt;0,"Error",IF(SUM(B34:D34)=0,"",SUM(คะแนน!B13:V19,คะแนน!B21:V22,คะแนน!B29:V34)/IF(COUNT(คะแนน!B13:V19,คะแนน!B21:V22,คะแนน!B29:V34)=0,1,COUNT(คะแนน!B13:V19,คะแนน!B21:V22,คะแนน!B29:V34))))</f>
        <v>4.428571428571429</v>
      </c>
      <c r="F34" s="219" t="str">
        <f>IF(E34="","",IF(E34&lt;=1.5,"การดำเนินงานต้องปรับปรุงเร่งด่วน",IF(E34&lt;=2.5,"การดำเนินงานต้องปรับปรุง",IF(E34&lt;=3.5,"การดำเนินงานระดับพอใช้",IF(E34&lt;=4.5,"การดำเนินงานระดับดี",IF(E34&lt;=5,"การดำเนินงานระดับดีมาก","ข้อมูลผิด"))))))</f>
        <v>การดำเนินงานระดับดี</v>
      </c>
      <c r="G34" s="222"/>
    </row>
    <row r="35" spans="1:7" ht="45" customHeight="1">
      <c r="A35" s="219" t="s">
        <v>108</v>
      </c>
      <c r="B35" s="220">
        <f>IF((COUNTIF(คะแนน!B4:V8,"Error")+COUNTIF(คะแนน!B11:V12,"Error")+COUNTIF(คะแนน!B23:V23,"Error")+COUNTIF(คะแนน!B35:V38,"Error")+COUNTIF(คะแนน!B40:V43,"Error")+COUNTIF(คะแนน!B45:V45,"Error"))&gt;0,"Error",IF(OR(คะแนน!B62=0,COUNT(คะแนน!B12:V12)=0),"",SUM(คะแนน!B12:V12)/IF(COUNT(คะแนน!B12:V12)=0,1,COUNT(คะแนน!B12:V12))))</f>
        <v>5</v>
      </c>
      <c r="C35" s="220">
        <f>IF((COUNTIF(คะแนน!B4:V8,"Error")+COUNTIF(คะแนน!B11:V12,"Error")+COUNTIF(คะแนน!B23:V23,"Error")+COUNTIF(คะแนน!B35:V38,"Error")+COUNTIF(คะแนน!B40:V43,"Error")+COUNTIF(คะแนน!B45:V45,"Error"))&gt;0,"Error",IF(OR(คะแนน!B62=0,COUNT(คะแนน!B4:V4,คะแนน!B8:V8,คะแนน!B11:V11,คะแนน!B23:V23,คะแนน!B35:V35,คะแนน!B38:V38,คะแนน!B40:V41,คะแนน!B45:V45)=0),"",SUM(คะแนน!B4:V4,คะแนน!B8:V8,คะแนน!B11:V11,คะแนน!B23:V23,คะแนน!B35:V35,คะแนน!B38:V38,คะแนน!B40:V41,คะแนน!B45:V45)/IF(COUNT(คะแนน!B4:V4,คะแนน!B8:V8,คะแนน!B11:V11,คะแนน!B23:V23,คะแนน!B35:V35,คะแนน!B38:V38,คะแนน!B40:V41,คะแนน!B45:V45)=0,1,COUNT(คะแนน!B4:V4,คะแนน!B8:V8,คะแนน!B11:V11,คะแนน!B23:V23,คะแนน!B35:V35,คะแนน!B38:V38,คะแนน!B40:V41,คะแนน!B45:V45))))</f>
        <v>4.444444444444445</v>
      </c>
      <c r="D35" s="220">
        <f>IF((COUNTIF(คะแนน!B4:V8,"Error")+COUNTIF(คะแนน!B11:V12,"Error")+COUNTIF(คะแนน!B23:V23,"Error")+COUNTIF(คะแนน!B35:V38,"Error")+COUNTIF(คะแนน!B40:V43,"Error")+COUNTIF(คะแนน!B45:V45,"Error"))&gt;0,"Error",IF(OR(คะแนน!B62=0,COUNT(คะแนน!B5:V7,คะแนน!B36:V37,คะแนน!B42:V43)=0),"",SUM(คะแนน!B5:V7,คะแนน!B36:V37,คะแนน!B42:V43)/IF(COUNT(คะแนน!B5:V7,คะแนน!B36:V37,คะแนน!B42:V43)=0,1,COUNT(คะแนน!B5:V7,คะแนน!B36:V37,คะแนน!B42:V43))))</f>
        <v>5</v>
      </c>
      <c r="E35" s="220">
        <f>IF(COUNTIF(B35:D35,"Error")&gt;0,"Error",IF(SUM(B35:D35)=0,"",SUM(คะแนน!B4:V8,คะแนน!B11:V12,คะแนน!B23:V23,คะแนน!B35:V38,คะแนน!B40:V43,คะแนน!B45:V45)/IF(COUNT(คะแนน!B4:V8,คะแนน!B11:V12,คะแนน!B23:V23,คะแนน!B35:V38,คะแนน!B40:V43,คะแนน!B45:V45)=0,1,COUNT(คะแนน!B4:V8,คะแนน!B11:V12,คะแนน!B23:V23,คะแนน!B35:V38,คะแนน!B40:V43,คะแนน!B45:V45))))</f>
        <v>4.545454545454546</v>
      </c>
      <c r="F35" s="219" t="str">
        <f>IF(E35="","",IF(E35&lt;=1.5,"การดำเนินงานต้องปรับปรุงเร่งด่วน",IF(E35&lt;=2.5,"การดำเนินงานต้องปรับปรุง",IF(E35&lt;=3.5,"การดำเนินงานระดับพอใช้",IF(E35&lt;=4.5,"การดำเนินงานระดับดี",IF(E35&lt;=5,"การดำเนินงานระดับดีมาก","ข้อมูลผิด"))))))</f>
        <v>การดำเนินงานระดับดีมาก</v>
      </c>
      <c r="G35" s="219" t="s">
        <v>92</v>
      </c>
    </row>
    <row r="36" spans="1:7" ht="45" customHeight="1">
      <c r="A36" s="219" t="s">
        <v>109</v>
      </c>
      <c r="B36" s="220">
        <f>IF((COUNTIF(คะแนน!B25:V25,"Error")+COUNTIF(คะแนน!B44:V44,"Error"))&gt;0,"Error",IF(OR(คะแนน!B62=0,COUNT(คะแนน!B25:V25,คะแนน!B44:V44)=0),"",SUM(คะแนน!B25:V25)/IF(COUNT(คะแนน!B25:V25)=0,1,COUNT(คะแนน!B25:V25))))</f>
        <v>5</v>
      </c>
      <c r="C36" s="220">
        <f>IF((COUNTIF(คะแนน!B25:V25,"Error")+COUNTIF(คะแนน!B44:V44,"Error"))&gt;0,"Error",IF(OR(คะแนน!B62=0,COUNT(คะแนน!B25:V25,คะแนน!B44:V44)=0),"",SUM(คะแนน!B44:V44)/IF(COUNT(คะแนน!B44:V44)=0,1,COUNT(คะแนน!B44:V44))))</f>
        <v>4</v>
      </c>
      <c r="D36" s="220" t="str">
        <f>IF((COUNTIF(คะแนน!B25:V25,"Error")+COUNTIF(คะแนน!B44:V44,"Error"))&gt;0,"Error",IF(OR(คะแนน!B62=0,COUNT(คะแนน!B25:V25,คะแนน!B44:V44)=0),"","-"))</f>
        <v>-</v>
      </c>
      <c r="E36" s="220">
        <f>IF(COUNTIF(B36:D36,"Error")&gt;0,"Error",IF(SUM(B36:D36)=0,"",SUM(คะแนน!B25:V25,คะแนน!B44:V44)/IF(COUNT(คะแนน!B25:V25,คะแนน!B44:V44)=0,1,COUNT(คะแนน!B25:V25,คะแนน!B44:V44))))</f>
        <v>4.5</v>
      </c>
      <c r="F36" s="219" t="str">
        <f>IF(E36="","",IF(E36&lt;=1.5,"การดำเนินงานต้องปรับปรุงเร่งด่วน",IF(E36&lt;=2.5,"การดำเนินงานต้องปรับปรุง",IF(E36&lt;=3.5,"การดำเนินงานระดับพอใช้",IF(E36&lt;=4.5,"การดำเนินงานระดับดี",IF(E36&lt;=5,"การดำเนินงานระดับดีมาก","ข้อมูลผิด"))))))</f>
        <v>การดำเนินงานระดับดี</v>
      </c>
      <c r="G36" s="222"/>
    </row>
    <row r="37" spans="1:7" ht="45" customHeight="1">
      <c r="A37" s="221" t="s">
        <v>112</v>
      </c>
      <c r="B37" s="220">
        <f>IF((COUNTIF(คะแนน!B9:V10,"Error")+COUNTIF(คะแนน!B20:V20,"Error")+COUNTIF(คะแนน!B24:V24,"Error")+COUNTIF(คะแนน!B26:V28,"Error")+COUNTIF(คะแนน!B39:V39,"Error"))&gt;0,"Error",IF(OR(คะแนน!B62=0,COUNT(คะแนน!B9:V10)=0),"",SUM(คะแนน!B9:V10)/IF(COUNT(คะแนน!B9:V10)=0,1,COUNT(คะแนน!B9:V10))))</f>
        <v>0</v>
      </c>
      <c r="C37" s="220">
        <f>IF((COUNTIF(คะแนน!B9:V10,"Error")+COUNTIF(คะแนน!B20:V20,"Error")+COUNTIF(คะแนน!B24:V24,"Error")+COUNTIF(คะแนน!B26:V28,"Error")+COUNTIF(คะแนน!B39:V39,"Error"))&gt;0,"Error",IF(OR(คะแนน!B62=0,COUNT(คะแนน!B24:V24,คะแนน!B39:V39)=0),"",SUM(คะแนน!B24:V24,คะแนน!B39:V39)/IF(COUNT(คะแนน!B24:V24,คะแนน!B39:V39)=0,1,COUNT(คะแนน!B24:V24,คะแนน!B39:V39))))</f>
        <v>4</v>
      </c>
      <c r="D37" s="220">
        <f>IF((COUNTIF(คะแนน!B9:V10,"Error")+COUNTIF(คะแนน!B20:V20,"Error")+COUNTIF(คะแนน!B24:V24,"Error")+COUNTIF(คะแนน!B26:V28,"Error")+COUNTIF(คะแนน!B39:V39,"Error"))&gt;0,"Error",IF(OR(คะแนน!B62=0,COUNT(คะแนน!B20:V20,คะแนน!B26:V28)=0),"",SUM(คะแนน!B20:V20,คะแนน!B26:V28)/IF(COUNT(คะแนน!B20:V20,คะแนน!B26:V28)=0,1,COUNT(คะแนน!B20:V20,คะแนน!B26:V28))))</f>
      </c>
      <c r="E37" s="220">
        <f>IF(COUNTIF(B37:D37,"Error")&gt;0,"Error",IF(SUM(B37:D37)=0,"",SUM(คะแนน!B9:V10,คะแนน!B20:V20,คะแนน!B24:V24,คะแนน!B26:V28,คะแนน!B39:V39)/IF(COUNT(คะแนน!B9:V10,คะแนน!B20:V20,คะแนน!B24:V24,คะแนน!B26:V28,คะแนน!B39:V39)=0,1,COUNT(คะแนน!B9:V10,คะแนน!B20:V20,คะแนน!B24:V24,คะแนน!B26:V28,คะแนน!B39:V39))))</f>
        <v>2</v>
      </c>
      <c r="F37" s="219" t="str">
        <f>IF(E37="","",IF(E37&lt;=1.5,"การดำเนินงานต้องปรับปรุงเร่งด่วน",IF(E37&lt;=2.5,"การดำเนินงานต้องปรับปรุง",IF(E37&lt;=3.5,"การดำเนินงานระดับพอใช้",IF(E37&lt;=4.5,"การดำเนินงานระดับดี",IF(E37&lt;=5,"การดำเนินงานระดับดีมาก","ข้อมูลผิด"))))))</f>
        <v>การดำเนินงานต้องปรับปรุง</v>
      </c>
      <c r="G37" s="222"/>
    </row>
    <row r="38" spans="1:7" ht="45" customHeight="1">
      <c r="A38" s="221" t="s">
        <v>113</v>
      </c>
      <c r="B38" s="220">
        <f>IF(COUNTIF(B34:B37,"Error")&gt;0,"Error",IF(SUM(B34:B37)=0,"",SUM(คะแนน!B9:V10,คะแนน!B12:V12,คะแนน!B25:V25)/IF(COUNT(คะแนน!B9:V10,คะแนน!B12:V12,คะแนน!B25:V25)=0,1,COUNT(คะแนน!B9:V10,คะแนน!B12:V12,คะแนน!B25:V25))))</f>
        <v>2.5</v>
      </c>
      <c r="C38" s="220">
        <f>IF(COUNTIF(C34:C37,"Error")&gt;0,"Error",IF(SUM(C34:C37)=0,"",SUM(คะแนน!B4:V4,คะแนน!B8:V8,คะแนน!B11:V11,คะแนน!B13:V14,คะแนน!B21:V24,คะแนน!B29:V30,คะแนน!B35:V35,คะแนน!B38:V41,คะแนน!B44:V45)/IF(COUNT(คะแนน!B4:V4,คะแนน!B8:V8,คะแนน!B11:V11,คะแนน!B13:V14,คะแนน!B21:V24,คะแนน!B29:V30,คะแนน!B35:V35,คะแนน!B38:V41,คะแนน!B44:V45)=0,1,COUNT(คะแนน!B4:V4,คะแนน!B8:V8,คะแนน!B11:V11,คะแนน!B13:V14,คะแนน!B21:V24,คะแนน!B29:V30,คะแนน!B35:V35,คะแนน!B38:V41,คะแนน!B44:V45))))</f>
        <v>4.388888888888889</v>
      </c>
      <c r="D38" s="220">
        <f>IF(COUNTIF(D34:D37,"Error")&gt;0,"Error",IF(SUM(D34:D37)=0,"",SUM(คะแนน!B5:V7,คะแนน!B15:V20,คะแนน!B26:V28,คะแนน!B31:V34,คะแนน!B36:V37,คะแนน!B42:V43)/IF(COUNT(คะแนน!B5:V7,คะแนน!B15:V20,คะแนน!B26:V28,คะแนน!B31:V34,คะแนน!B36:V37,คะแนน!B42:V43)=0,1,COUNT(คะแนน!B5:V7,คะแนน!B15:V20,คะแนน!B26:V28,คะแนน!B31:V34,คะแนน!B36:V37,คะแนน!B42:V43))))</f>
        <v>4.5</v>
      </c>
      <c r="E38" s="220">
        <f>IF(COUNTIF(E34:E37,"Error")&gt;0,"Error",IF(SUM(E34:E37)=0,"",SUM(คะแนน!B4:V45)/IF(COUNT(คะแนน!B4:V45)=0,1,COUNT(คะแนน!B4:V45))))</f>
        <v>4.083333333333333</v>
      </c>
      <c r="F38" s="219" t="str">
        <f>IF(E38="","",IF(E38&lt;=1.5,"การดำเนินงานต้องปรับปรุงเร่งด่วน",IF(E38&lt;=2.5,"การดำเนินงานต้องปรับปรุง",IF(E38&lt;=3.5,"การดำเนินงานระดับพอใช้",IF(E38&lt;=4.5,"การดำเนินงานระดับดี",IF(E38&lt;=5,"การดำเนินงานระดับดีมาก","ข้อมูลผิด"))))))</f>
        <v>การดำเนินงานระดับดี</v>
      </c>
      <c r="G38" s="222"/>
    </row>
    <row r="39" spans="1:7" ht="71.25" customHeight="1">
      <c r="A39" s="270" t="s">
        <v>29</v>
      </c>
      <c r="B39" s="197" t="str">
        <f>IF(B38="","",IF(B38&lt;=1.5,"การดำเนินงานต้องปรับปรุงเร่งด่วน",IF(B38&lt;=2.5,"การดำเนินงานต้องปรับปรุง",IF(B38&lt;=3.5,"การดำเนินงานระดับพอใช้",IF(B38&lt;=4.5,"การดำเนินงานระดับดี",IF(B38&lt;=5,"การดำเนินงานระดับดีมาก","ข้อมูลผิด"))))))</f>
        <v>การดำเนินงานต้องปรับปรุง</v>
      </c>
      <c r="C39" s="197" t="str">
        <f>IF(C38="","",IF(C38&lt;=1.5,"การดำเนินงานต้องปรับปรุงเร่งด่วน",IF(C38&lt;=2.5,"การดำเนินงานต้องปรับปรุง",IF(C38&lt;=3.5,"การดำเนินงานระดับพอใช้",IF(C38&lt;=4.5,"การดำเนินงานระดับดี",IF(C38&lt;=5,"การดำเนินงานระดับดีมาก","ข้อมูลผิด"))))))</f>
        <v>การดำเนินงานระดับดี</v>
      </c>
      <c r="D39" s="197" t="str">
        <f>IF(D38="","",IF(D38&lt;=1.5,"การดำเนินงานต้องปรับปรุงเร่งด่วน",IF(D38&lt;=2.5,"การดำเนินงานต้องปรับปรุง",IF(D38&lt;=3.5,"การดำเนินงานระดับพอใช้",IF(D38&lt;=4.5,"การดำเนินงานระดับดี",IF(D38&lt;=5,"การดำเนินงานระดับดีมาก","ข้อมูลผิด"))))))</f>
        <v>การดำเนินงานระดับดี</v>
      </c>
      <c r="E39" s="197" t="str">
        <f>IF(E38="","",IF(E38&lt;=1.5,"การดำเนินงานต้องปรับปรุงเร่งด่วน",IF(E38&lt;=2.5,"การดำเนินงานต้องปรับปรุง",IF(E38&lt;=3.5,"การดำเนินงานระดับพอใช้",IF(E38&lt;=4.5,"การดำเนินงานระดับดี",IF(E38&lt;=5,"การดำเนินงานระดับดีมาก","ข้อมูลผิด"))))))</f>
        <v>การดำเนินงานระดับดี</v>
      </c>
      <c r="F39" s="222"/>
      <c r="G39" s="222"/>
    </row>
  </sheetData>
  <sheetProtection password="CC53" sheet="1"/>
  <mergeCells count="21">
    <mergeCell ref="A2:A7"/>
    <mergeCell ref="B2:E4"/>
    <mergeCell ref="G2:G7"/>
    <mergeCell ref="B5:B7"/>
    <mergeCell ref="C5:C7"/>
    <mergeCell ref="D5:D7"/>
    <mergeCell ref="E5:E7"/>
    <mergeCell ref="A15:A20"/>
    <mergeCell ref="B15:E17"/>
    <mergeCell ref="G15:G20"/>
    <mergeCell ref="B18:B20"/>
    <mergeCell ref="C18:C20"/>
    <mergeCell ref="D18:D20"/>
    <mergeCell ref="E18:E20"/>
    <mergeCell ref="A28:A33"/>
    <mergeCell ref="B28:E30"/>
    <mergeCell ref="G28:G33"/>
    <mergeCell ref="B31:B33"/>
    <mergeCell ref="C31:C33"/>
    <mergeCell ref="D31:D33"/>
    <mergeCell ref="E31:E33"/>
  </mergeCells>
  <printOptions horizontalCentered="1"/>
  <pageMargins left="0.748031496062992" right="0.748031496062992" top="1.25984251968504" bottom="0.984251968503937" header="0.984251968503937" footer="0.78740157480315"/>
  <pageSetup horizontalDpi="600" verticalDpi="600" orientation="landscape" paperSize="9" r:id="rId2"/>
  <rowBreaks count="2" manualBreakCount="2">
    <brk id="13" max="6" man="1"/>
    <brk id="26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="120" zoomScaleNormal="120" zoomScalePageLayoutView="0" workbookViewId="0" topLeftCell="A1">
      <selection activeCell="A12" sqref="A12"/>
    </sheetView>
  </sheetViews>
  <sheetFormatPr defaultColWidth="9.00390625" defaultRowHeight="14.25"/>
  <cols>
    <col min="1" max="1" width="23.375" style="30" customWidth="1"/>
    <col min="2" max="5" width="9.25390625" style="30" customWidth="1"/>
    <col min="6" max="6" width="30.625" style="30" customWidth="1"/>
    <col min="7" max="7" width="30.00390625" style="30" customWidth="1"/>
    <col min="8" max="16384" width="9.00390625" style="30" customWidth="1"/>
  </cols>
  <sheetData>
    <row r="1" ht="33.75" customHeight="1">
      <c r="A1" s="110" t="s">
        <v>150</v>
      </c>
    </row>
    <row r="2" spans="1:7" ht="19.5" customHeight="1">
      <c r="A2" s="610" t="s">
        <v>115</v>
      </c>
      <c r="B2" s="607" t="s">
        <v>81</v>
      </c>
      <c r="C2" s="607"/>
      <c r="D2" s="607"/>
      <c r="E2" s="607"/>
      <c r="F2" s="198" t="s">
        <v>29</v>
      </c>
      <c r="G2" s="607" t="s">
        <v>82</v>
      </c>
    </row>
    <row r="3" spans="1:7" ht="12" customHeight="1">
      <c r="A3" s="607"/>
      <c r="B3" s="607"/>
      <c r="C3" s="607"/>
      <c r="D3" s="607"/>
      <c r="E3" s="607"/>
      <c r="F3" s="189" t="s">
        <v>98</v>
      </c>
      <c r="G3" s="607"/>
    </row>
    <row r="4" spans="1:7" ht="12" customHeight="1">
      <c r="A4" s="607"/>
      <c r="B4" s="607"/>
      <c r="C4" s="607"/>
      <c r="D4" s="607"/>
      <c r="E4" s="607"/>
      <c r="F4" s="189" t="s">
        <v>99</v>
      </c>
      <c r="G4" s="607"/>
    </row>
    <row r="5" spans="1:7" ht="12" customHeight="1">
      <c r="A5" s="607"/>
      <c r="B5" s="607" t="s">
        <v>94</v>
      </c>
      <c r="C5" s="607" t="s">
        <v>95</v>
      </c>
      <c r="D5" s="607" t="s">
        <v>96</v>
      </c>
      <c r="E5" s="607" t="s">
        <v>30</v>
      </c>
      <c r="F5" s="189" t="s">
        <v>100</v>
      </c>
      <c r="G5" s="607"/>
    </row>
    <row r="6" spans="1:7" ht="12" customHeight="1">
      <c r="A6" s="607"/>
      <c r="B6" s="607"/>
      <c r="C6" s="607"/>
      <c r="D6" s="607"/>
      <c r="E6" s="607"/>
      <c r="F6" s="189" t="s">
        <v>178</v>
      </c>
      <c r="G6" s="607"/>
    </row>
    <row r="7" spans="1:7" ht="12" customHeight="1">
      <c r="A7" s="607"/>
      <c r="B7" s="607"/>
      <c r="C7" s="607"/>
      <c r="D7" s="607"/>
      <c r="E7" s="607"/>
      <c r="F7" s="190" t="s">
        <v>101</v>
      </c>
      <c r="G7" s="607"/>
    </row>
    <row r="8" spans="1:7" ht="19.5" customHeight="1">
      <c r="A8" s="621" t="s">
        <v>116</v>
      </c>
      <c r="B8" s="622"/>
      <c r="C8" s="622"/>
      <c r="D8" s="622"/>
      <c r="E8" s="623"/>
      <c r="F8" s="201"/>
      <c r="G8" s="201"/>
    </row>
    <row r="9" spans="1:7" ht="19.5" customHeight="1">
      <c r="A9" s="274" t="s">
        <v>117</v>
      </c>
      <c r="B9" s="202">
        <f>IF(COUNTIF(คะแนน!B12,"Error")&gt;0,"Error",IF(OR(คะแนน!B60=0,COUNT(คะแนน!B12)=0),"",SUM(คะแนน!B12)/IF(COUNT(คะแนน!B12)=0,1,COUNT(คะแนน!B12))))</f>
        <v>5</v>
      </c>
      <c r="C9" s="202" t="str">
        <f>IF(COUNTIF(คะแนน!B12,"Error")&gt;0,"Error",IF(OR(คะแนน!B60=0,COUNT(คะแนน!B12)=0),"","-"))</f>
        <v>-</v>
      </c>
      <c r="D9" s="202" t="str">
        <f>IF(COUNTIF(คะแนน!B12,"Error")&gt;0,"Error",IF(OR(คะแนน!B60=0,COUNT(คะแนน!B12)=0),"","-"))</f>
        <v>-</v>
      </c>
      <c r="E9" s="202">
        <f>IF(COUNTIF(B9:D9,"Error")&gt;0,"Error",IF(SUM(B9:D9)=0,"",SUM(คะแนน!B12)/IF(COUNT(คะแนน!B12)=0,1,COUNT(คะแนน!B12))))</f>
        <v>5</v>
      </c>
      <c r="F9" s="201" t="str">
        <f>IF(E9="","",IF(E9&lt;=1.5,"การดำเนินงานต้องปรับปรุงเร่งด่วน",IF(E9&lt;=2.5,"การดำเนินงานต้องปรับปรุง",IF(E9&lt;=3.5,"การดำเนินงานระดับพอใช้",IF(E9&lt;=4.5,"การดำเนินงานระดับดี",IF(E9&lt;=5,"การดำเนินงานระดับดีมาก","ข้อมูลผิด"))))))</f>
        <v>การดำเนินงานระดับดีมาก</v>
      </c>
      <c r="G9" s="201"/>
    </row>
    <row r="10" spans="1:7" ht="19.5" customHeight="1">
      <c r="A10" s="274" t="s">
        <v>118</v>
      </c>
      <c r="B10" s="202">
        <f>IF((COUNTIF(คะแนน!B8:B11,"Error")+COUNTIF(คะแนน!B13,"Error"))&gt;0,"Error",IF(OR(คะแนน!B60=0,COUNT(คะแนน!B9:B10)=0),"",SUM(คะแนน!B9:B10)/IF(COUNT(คะแนน!B9:B10)=0,1,COUNT(คะแนน!B9:B10))))</f>
        <v>0</v>
      </c>
      <c r="C10" s="202">
        <f>IF((COUNTIF(คะแนน!B8:B11,"Error")+COUNTIF(คะแนน!B13,"Error"))&gt;0,"Error",IF(OR(คะแนน!B60=0,COUNT(คะแนน!B8,คะแนน!B11,คะแนน!B13)=0),"",SUM(คะแนน!B8,คะแนน!B11,คะแนน!B13)/IF(COUNT(คะแนน!B8,คะแนน!B11,คะแนน!B13)=0,1,COUNT(คะแนน!B8,คะแนน!B11,คะแนน!B13))))</f>
        <v>4</v>
      </c>
      <c r="D10" s="202"/>
      <c r="E10" s="202">
        <f>IF(COUNTIF(B10:D10,"Error")&gt;0,"Error",IF(SUM(B10:D10)=0,"",SUM(คะแนน!B8:B11,คะแนน!B13)/IF(COUNT(คะแนน!B8:B11,คะแนน!B13)=0,1,COUNT(คะแนน!B8:B11,คะแนน!B13))))</f>
        <v>2.4</v>
      </c>
      <c r="F10" s="201" t="str">
        <f>IF(E10="","",IF(E10&lt;=1.5,"การดำเนินงานต้องปรับปรุงเร่งด่วน",IF(E10&lt;=2.5,"การดำเนินงานต้องปรับปรุง",IF(E10&lt;=3.5,"การดำเนินงานระดับพอใช้",IF(E10&lt;=4.5,"การดำเนินงานระดับดี",IF(E10&lt;=5,"การดำเนินงานระดับดีมาก","ข้อมูลผิด"))))))</f>
        <v>การดำเนินงานต้องปรับปรุง</v>
      </c>
      <c r="G10" s="201"/>
    </row>
    <row r="11" spans="1:7" ht="19.5" customHeight="1">
      <c r="A11" s="274" t="s">
        <v>119</v>
      </c>
      <c r="B11" s="202" t="str">
        <f>IF(COUNTIF(คะแนน!B44,"Error")&gt;0,"Error",IF(OR(คะแนน!B60=0,COUNT(คะแนน!B44)=0),"","-"))</f>
        <v>-</v>
      </c>
      <c r="C11" s="202">
        <f>IF(COUNTIF(คะแนน!B44,"Error")&gt;0,"Error",IF(OR(คะแนน!B60=0,COUNT(คะแนน!B44)=0),"",SUM(คะแนน!B44)/IF(COUNT(คะแนน!B44)=0,1,COUNT(คะแนน!B44))))</f>
        <v>4</v>
      </c>
      <c r="D11" s="202" t="str">
        <f>IF(COUNTIF(คะแนน!B44,"Error")&gt;0,"Error",IF(OR(คะแนน!B60=0,COUNT(คะแนน!B44)=0),"","-"))</f>
        <v>-</v>
      </c>
      <c r="E11" s="202">
        <f>IF(COUNTIF(B11:D11,"Error")&gt;0,"Error",IF(SUM(B11:D11)=0,"",SUM(คะแนน!B44)/IF(COUNT(คะแนน!B44)=0,1,COUNT(คะแนน!B44))))</f>
        <v>4</v>
      </c>
      <c r="F11" s="201" t="str">
        <f>IF(E11="","",IF(E11&lt;=1.5,"การดำเนินงานต้องปรับปรุงเร่งด่วน",IF(E11&lt;=2.5,"การดำเนินงานต้องปรับปรุง",IF(E11&lt;=3.5,"การดำเนินงานระดับพอใช้",IF(E11&lt;=4.5,"การดำเนินงานระดับดี",IF(E11&lt;=5,"การดำเนินงานระดับดีมาก","ข้อมูลผิด"))))))</f>
        <v>การดำเนินงานระดับดี</v>
      </c>
      <c r="G11" s="201"/>
    </row>
    <row r="12" spans="1:7" ht="19.5" customHeight="1">
      <c r="A12" s="274" t="s">
        <v>120</v>
      </c>
      <c r="B12" s="202" t="str">
        <f>IF((COUNTIF(คะแนน!B4,"Error")+COUNTIF(คะแนน!B38:B41,"Error")+COUNTIF(คะแนน!B45,"Error"))&gt;0,"Error",IF(OR(คะแนน!B60=0,COUNT(คะแนน!B4,คะแนน!B38:B41,คะแนน!B45)=0),"","-"))</f>
        <v>-</v>
      </c>
      <c r="C12" s="202">
        <f>IF((COUNTIF(คะแนน!B4,"Error")+COUNTIF(คะแนน!B38:B41,"Error")+COUNTIF(คะแนน!B45,"Error"))&gt;0,"Error",IF(OR(คะแนน!B60=0,COUNT(คะแนน!B4,คะแนน!B38:B41,คะแนน!B45)=0),"",SUM(คะแนน!B4,คะแนน!B38:B41,คะแนน!B45)/IF(COUNT(คะแนน!B4,คะแนน!B38:B41,คะแนน!B45)=0,1,COUNT(คะแนน!B4,คะแนน!B38:B41,คะแนน!B45))))</f>
        <v>4.5</v>
      </c>
      <c r="D12" s="202"/>
      <c r="E12" s="202">
        <f>IF(COUNTIF(B12:D12,"Error")&gt;0,"Error",IF(SUM(B12:D12)=0,"",SUM(คะแนน!B4,คะแนน!B38:B41,คะแนน!B45)/IF(COUNT(คะแนน!B4,คะแนน!B38:B41,คะแนน!B45)=0,1,COUNT(คะแนน!B4,คะแนน!B38:B41,คะแนน!B45))))</f>
        <v>4.5</v>
      </c>
      <c r="F12" s="201" t="str">
        <f>IF(E12="","",IF(E12&lt;=1.5,"การดำเนินงานต้องปรับปรุงเร่งด่วน",IF(E12&lt;=2.5,"การดำเนินงานต้องปรับปรุง",IF(E12&lt;=3.5,"การดำเนินงานระดับพอใช้",IF(E12&lt;=4.5,"การดำเนินงานระดับดี",IF(E12&lt;=5,"การดำเนินงานระดับดีมาก","ข้อมูลผิด"))))))</f>
        <v>การดำเนินงานระดับดี</v>
      </c>
      <c r="G12" s="201" t="s">
        <v>92</v>
      </c>
    </row>
    <row r="13" spans="1:7" ht="19.5" customHeight="1">
      <c r="A13" s="201" t="s">
        <v>126</v>
      </c>
      <c r="B13" s="202">
        <f>IF((COUNTIF(คะแนน!B9:B10,"Error")+COUNTIF(คะแนน!B12,"Error"))&gt;0,"Error",IF(OR(คะแนน!B60=0,COUNT(คะแนน!B9:B10,คะแนน!B12)=0),"",SUM(คะแนน!B9:B10,คะแนน!B12)/IF(COUNT(คะแนน!B9:B10,คะแนน!B12)=0,1,COUNT(คะแนน!B9:B10,คะแนน!B12))))</f>
        <v>1.6666666666666667</v>
      </c>
      <c r="C13" s="202">
        <f>IF((COUNTIF(คะแนน!B4,"Error")+COUNTIF(คะแนน!B8,"Error")+COUNTIF(คะแนน!B11,"Error")+COUNTIF(คะแนน!B13,"Error")+COUNTIF(คะแนน!B38:B41,"Error")+COUNTIF(คะแนน!B44:B45,"Error"))&gt;0,"Error",IF(OR(คะแนน!B60=0,COUNT(คะแนน!B4,คะแนน!B8,คะแนน!B11,คะแนน!B13,คะแนน!B38:B41,คะแนน!B44:B45)=0),"",SUM(คะแนน!B4,คะแนน!B8,คะแนน!B11,คะแนน!B13,คะแนน!B38:B41,คะแนน!B44:B45)/IF(COUNT(คะแนน!B4,คะแนน!B8,คะแนน!B11,คะแนน!B13,คะแนน!B38:B41,คะแนน!B44:B45)=0,1,COUNT(คะแนน!B4,คะแนน!B8,คะแนน!B11,คะแนน!B13,คะแนน!B38:B41,คะแนน!B44:B45))))</f>
        <v>4.3</v>
      </c>
      <c r="D13" s="202"/>
      <c r="E13" s="202">
        <f>IF(COUNTIF(B13:D13,"Error")&gt;0,"Error",IF(COUNT(B13:D13)=0,"",SUM(คะแนน!B4,คะแนน!B8:B13,คะแนน!B38:B41,คะแนน!B44:B45)/IF(COUNT(คะแนน!B4,คะแนน!B8:B13,คะแนน!B38:B41,คะแนน!B44:B45)=0,1,COUNT(คะแนน!B4,คะแนน!B8:B13,คะแนน!B38:B41,คะแนน!B44:B45))))</f>
        <v>3.6923076923076925</v>
      </c>
      <c r="F13" s="201" t="str">
        <f>IF(E13="","",IF(E13&lt;=1.5,"การดำเนินงานต้องปรับปรุงเร่งด่วน",IF(E13&lt;=2.5,"การดำเนินงานต้องปรับปรุง",IF(E13&lt;=3.5,"การดำเนินงานระดับพอใช้",IF(E13&lt;=4.5,"การดำเนินงานระดับดี",IF(E13&lt;=5,"การดำเนินงานระดับดีมาก","ข้อมูลผิด"))))))</f>
        <v>การดำเนินงานระดับดี</v>
      </c>
      <c r="G13" s="201"/>
    </row>
    <row r="14" spans="1:7" ht="19.5" customHeight="1">
      <c r="A14" s="621" t="s">
        <v>32</v>
      </c>
      <c r="B14" s="624"/>
      <c r="C14" s="624"/>
      <c r="D14" s="624"/>
      <c r="E14" s="625"/>
      <c r="F14" s="201"/>
      <c r="G14" s="201"/>
    </row>
    <row r="15" spans="1:7" ht="19.5" customHeight="1">
      <c r="A15" s="274" t="s">
        <v>121</v>
      </c>
      <c r="B15" s="202" t="str">
        <f>IF((COUNTIF(คะแนน!B14:B15,"Error")+COUNTIF(คะแนน!B21:B22,"Error"))&gt;0,"Error",IF(OR(คะแนน!B60=0,COUNT(คะแนน!B14:B15,คะแนน!B21:B22)=0),"","-"))</f>
        <v>-</v>
      </c>
      <c r="C15" s="202">
        <f>IF((COUNTIF(คะแนน!B14:B15,"Error")+COUNTIF(คะแนน!B21:B22,"Error"))&gt;0,"Error",IF(OR(คะแนน!B60=0,COUNT(คะแนน!B14,คะแนน!B21:B22)=0),"",SUM(คะแนน!B14,คะแนน!B21:B22)/IF(COUNT(คะแนน!B14,คะแนน!B21:B22)=0,1,COUNT(คะแนน!B14,คะแนน!B21:B22))))</f>
        <v>4.666666666666667</v>
      </c>
      <c r="D15" s="202">
        <f>IF((COUNTIF(คะแนน!B14:B15,"Error")+COUNTIF(คะแนน!B21:B22,"Error"))&gt;0,"Error",IF(OR(คะแนน!B60=0,COUNT(คะแนน!B15)=0),"",SUM(คะแนน!B15)/IF(COUNT(คะแนน!B15)=0,1,COUNT(คะแนน!B15))))</f>
        <v>4</v>
      </c>
      <c r="E15" s="202">
        <f>IF(COUNTIF(B15:D15,"Error")&gt;0,"Error",IF(SUM(B15:D15)=0,"",SUM(คะแนน!B14:B15,คะแนน!B21:B22)/IF(COUNT(คะแนน!B14:B15,คะแนน!B21:B22)=0,1,COUNT(คะแนน!B14:B15,คะแนน!B21:B22))))</f>
        <v>4.5</v>
      </c>
      <c r="F15" s="201" t="str">
        <f aca="true" t="shared" si="0" ref="F15:F20">IF(E15="","",IF(E15&lt;=1.5,"การดำเนินงานต้องปรับปรุงเร่งด่วน",IF(E15&lt;=2.5,"การดำเนินงานต้องปรับปรุง",IF(E15&lt;=3.5,"การดำเนินงานระดับพอใช้",IF(E15&lt;=4.5,"การดำเนินงานระดับดี",IF(E15&lt;=5,"การดำเนินงานระดับดีมาก","ข้อมูลผิด"))))))</f>
        <v>การดำเนินงานระดับดี</v>
      </c>
      <c r="G15" s="201"/>
    </row>
    <row r="16" spans="1:7" ht="19.5" customHeight="1">
      <c r="A16" s="274" t="s">
        <v>122</v>
      </c>
      <c r="B16" s="202">
        <f>IF(COUNTIF(คะแนน!B23:B25,"Error")&gt;0,"Error",IF(OR(คะแนน!B60=0,COUNT(คะแนน!B25)=0),"",SUM(คะแนน!B25)/IF(COUNT(คะแนน!B25)=0,1,COUNT(คะแนน!B25))))</f>
        <v>5</v>
      </c>
      <c r="C16" s="202">
        <f>IF(COUNTIF(คะแนน!B23:B25,"Error")&gt;0,"Error",IF(OR(คะแนน!B60=0,COUNT(คะแนน!B23:B24)=0),"",SUM(คะแนน!B23:B24)/IF(COUNT(คะแนน!B23:B24)=0,1,COUNT(คะแนน!B23:B24))))</f>
        <v>4</v>
      </c>
      <c r="D16" s="202"/>
      <c r="E16" s="202">
        <f>IF(COUNTIF(B16:D16,"Error")&gt;0,"Error",IF(SUM(B16:D16)=0,"",SUM(คะแนน!B23:B25)/IF(COUNT(คะแนน!B23:B25)=0,1,COUNT(คะแนน!B23:B25))))</f>
        <v>4.333333333333333</v>
      </c>
      <c r="F16" s="201" t="str">
        <f t="shared" si="0"/>
        <v>การดำเนินงานระดับดี</v>
      </c>
      <c r="G16" s="271"/>
    </row>
    <row r="17" spans="1:7" ht="43.5">
      <c r="A17" s="275" t="s">
        <v>123</v>
      </c>
      <c r="B17" s="202" t="str">
        <f>IF(COUNTIF(คะแนน!B29:B30,"Error")&gt;0,"Error",IF(OR(คะแนน!B60=0,COUNT(คะแนน!B29:B30)=0),"","-"))</f>
        <v>-</v>
      </c>
      <c r="C17" s="202">
        <f>IF(COUNTIF(คะแนน!B29:B30,"Error")&gt;0,"Error",IF(OR(คะแนน!B60=0,COUNT(คะแนน!B29:B30)=0),"",SUM(คะแนน!B29:B30)/IF(COUNT(คะแนน!B29:B30)=0,1,COUNT(คะแนน!B29:B30))))</f>
        <v>4.5</v>
      </c>
      <c r="D17" s="202"/>
      <c r="E17" s="202">
        <f>IF(COUNTIF(B17:D17,"Error")&gt;0,"Error",IF(SUM(B17:D17)=0,"",SUM(คะแนน!B29:B30)/IF(COUNT(คะแนน!B29:B30)=0,1,COUNT(คะแนน!B29:B30))))</f>
        <v>4.5</v>
      </c>
      <c r="F17" s="201" t="str">
        <f t="shared" si="0"/>
        <v>การดำเนินงานระดับดี</v>
      </c>
      <c r="G17" s="201"/>
    </row>
    <row r="18" spans="1:7" ht="43.5">
      <c r="A18" s="275" t="s">
        <v>124</v>
      </c>
      <c r="B18" s="202" t="str">
        <f>IF(COUNTIF(คะแนน!B35,"Error")&gt;0,"Error",IF(OR(คะแนน!B60=0,COUNT(คะแนน!B35)=0),"","-"))</f>
        <v>-</v>
      </c>
      <c r="C18" s="202">
        <f>IF(COUNTIF(คะแนน!B35,"Error")&gt;0,"Error",IF(OR(คะแนน!B60=0,COUNT(คะแนน!B35)=0),"",SUM(คะแนน!B35)/IF(COUNT(คะแนน!B35)=0,1,COUNT(คะแนน!B35))))</f>
        <v>5</v>
      </c>
      <c r="D18" s="202"/>
      <c r="E18" s="202">
        <f>IF(COUNTIF(B18:D18,"Error")&gt;0,"Error",IF(SUM(B18:D18)=0,"",SUM(คะแนน!B35)/IF(COUNT(คะแนน!B35)=0,1,COUNT(คะแนน!B35))))</f>
        <v>5</v>
      </c>
      <c r="F18" s="201" t="str">
        <f t="shared" si="0"/>
        <v>การดำเนินงานระดับดีมาก</v>
      </c>
      <c r="G18" s="201"/>
    </row>
    <row r="19" spans="1:7" ht="19.5" customHeight="1">
      <c r="A19" s="201" t="s">
        <v>125</v>
      </c>
      <c r="B19" s="202">
        <f>IF(COUNTIF(คะแนน!B25,"Error")&gt;0,"Error",IF(OR(คะแนน!B60=0,COUNT(คะแนน!B25)=0),"",SUM(คะแนน!B25)/IF(COUNT(คะแนน!B25)=0,1,COUNT(คะแนน!B25))))</f>
        <v>5</v>
      </c>
      <c r="C19" s="202">
        <f>IF((COUNTIF(คะแนน!B14,"Error")+COUNTIF(คะแนน!B21:B24,"Error")+COUNTIF(คะแนน!B29:B30,"Error")+COUNTIF(คะแนน!B35,"Error"))&gt;0,"Error",IF(OR(คะแนน!B60=0,COUNT(คะแนน!B14,คะแนน!B21:B24,คะแนน!B29:B30,คะแนน!B35)=0),"",SUM(คะแนน!B14,คะแนน!B21:B24,คะแนน!B29:B30,คะแนน!B35)/IF(COUNT(คะแนน!B14,คะแนน!B21:B24,คะแนน!B29:B30,คะแนน!B35)=0,1,COUNT(คะแนน!B14,คะแนน!B21:B24,คะแนน!B29:B30,คะแนน!B35))))</f>
        <v>4.5</v>
      </c>
      <c r="D19" s="202">
        <f>IF(COUNTIF(คะแนน!B15,"Error")&gt;0,"Error",IF(OR(คะแนน!B60=0,COUNT(คะแนน!B15)=0),"",SUM(คะแนน!B15)/IF(COUNT(คะแนน!B15)=0,1,COUNT(คะแนน!B15))))</f>
        <v>4</v>
      </c>
      <c r="E19" s="202">
        <f>IF(COUNTIF(B19:D19,"Error")&gt;0,"Error",IF(COUNT(B19:D19)=0,"",SUM(คะแนน!B14:B15,คะแนน!B21:B25,คะแนน!B29:B30,คะแนน!B35)/IF(COUNT(คะแนน!B14:B15,คะแนน!B21:B25,คะแนน!B29:B30,คะแนน!B35)=0,1,COUNT(คะแนน!B14:B15,คะแนน!B21:B25,คะแนน!B29:B30,คะแนน!B35))))</f>
        <v>4.5</v>
      </c>
      <c r="F19" s="201" t="str">
        <f t="shared" si="0"/>
        <v>การดำเนินงานระดับดี</v>
      </c>
      <c r="G19" s="201"/>
    </row>
    <row r="20" spans="1:7" ht="45">
      <c r="A20" s="168" t="s">
        <v>114</v>
      </c>
      <c r="B20" s="202">
        <f>IF((COUNTIF(B9:B12,"Error")+COUNTIF(B15:B18,"Error"))&gt;0,"Error",IF(SUM(B9:B12,B15:B18)=0,"",SUM(คะแนน!B9:B10,คะแนน!B12,คะแนน!B25)/IF(COUNT(คะแนน!B9:B10,คะแนน!B12,คะแนน!B25)=0,1,COUNT(คะแนน!B9:B10,คะแนน!B12,คะแนน!B25))))</f>
        <v>2.5</v>
      </c>
      <c r="C20" s="202">
        <f>IF((COUNTIF(C9:C12,"Error")+COUNTIF(C15:C18,"Error"))&gt;0,"Error",IF(SUM(C9:C12,C15:C18)=0,"",SUM(คะแนน!B4,คะแนน!B8,คะแนน!B11,คะแนน!B13:B14,คะแนน!B21:B24,คะแนน!B29:B30,คะแนน!B35,คะแนน!B38:B41,คะแนน!B44:B45)/IF(COUNT(คะแนน!B4,คะแนน!B8,คะแนน!B11,คะแนน!B13:B14,คะแนน!B21:B24,คะแนน!B29:B30,คะแนน!B35,คะแนน!B38:B41,คะแนน!B44:B45)=0,1,COUNT(คะแนน!B4,คะแนน!B8,คะแนน!B11,คะแนน!B13:B14,คะแนน!B21:B24,คะแนน!B29:B30,คะแนน!B35,คะแนน!B38:B41,คะแนน!B44:B45))))</f>
        <v>4.388888888888889</v>
      </c>
      <c r="D20" s="202">
        <f>IF((COUNTIF(D9:D12,"Error")+COUNTIF(D15:D18,"Error"))&gt;0,"Error",IF(SUM(D9:D12,D15:D18)=0,"",SUM(คะแนน!B15)/IF(COUNT(คะแนน!B15)=0,1,COUNT(คะแนน!B15))))</f>
        <v>4</v>
      </c>
      <c r="E20" s="202">
        <f>IF((COUNTIF(E9:E12,"Error")+COUNTIF(E15:E18,"Error"))&gt;0,"Error",IF(SUM(E9:E12,E15:E18)=0,"",SUM(คะแนน!B4,คะแนน!B8:B15,คะแนน!B21:B25,คะแนน!B29:B30,คะแนน!B35,คะแนน!B38:B41,คะแนน!B44:B45)/IF(COUNT(คะแนน!B4,คะแนน!B8:B15,คะแนน!B21:B25,คะแนน!B29:B30,คะแนน!B35,คะแนน!B38:B41,คะแนน!B44:B45)=0,1,COUNT(คะแนน!B4,คะแนน!B8:B15,คะแนน!B21:B25,คะแนน!B29:B30,คะแนน!B35,คะแนน!B38:B41,คะแนน!B44:B45))))</f>
        <v>4.043478260869565</v>
      </c>
      <c r="F20" s="201" t="str">
        <f t="shared" si="0"/>
        <v>การดำเนินงานระดับดี</v>
      </c>
      <c r="G20" s="201"/>
    </row>
    <row r="21" spans="1:7" ht="67.5" customHeight="1">
      <c r="A21" s="201" t="s">
        <v>29</v>
      </c>
      <c r="B21" s="191" t="str">
        <f>IF(B20="","",IF(B20&lt;=1.5,"การดำเนินงานต้องปรับปรุงเร่งด่วน",IF(B20&lt;=2.5,"การดำเนินงานต้องปรับปรุง",IF(B20&lt;=3.5,"การดำเนินงานระดับพอใช้",IF(B20&lt;=4.5,"การดำเนินงานระดับดี",IF(B20&lt;=5,"การดำเนินงานระดับดีมาก","ข้อมูลผิด"))))))</f>
        <v>การดำเนินงานต้องปรับปรุง</v>
      </c>
      <c r="C21" s="191" t="str">
        <f>IF(C20="","",IF(C20&lt;=1.5,"การดำเนินงานต้องปรับปรุงเร่งด่วน",IF(C20&lt;=2.5,"การดำเนินงานต้องปรับปรุง",IF(C20&lt;=3.5,"การดำเนินงานระดับพอใช้",IF(C20&lt;=4.5,"การดำเนินงานระดับดี",IF(C20&lt;=5,"การดำเนินงานระดับดีมาก","ข้อมูลผิด"))))))</f>
        <v>การดำเนินงานระดับดี</v>
      </c>
      <c r="D21" s="191" t="str">
        <f>IF(D20="","",IF(D20&lt;=1.5,"การดำเนินงานต้องปรับปรุงเร่งด่วน",IF(D20&lt;=2.5,"การดำเนินงานต้องปรับปรุง",IF(D20&lt;=3.5,"การดำเนินงานระดับพอใช้",IF(D20&lt;=4.5,"การดำเนินงานระดับดี",IF(D20&lt;=5,"การดำเนินงานระดับดีมาก","ข้อมูลผิด"))))))</f>
        <v>การดำเนินงานระดับดี</v>
      </c>
      <c r="E21" s="191" t="str">
        <f>IF(E20="","",IF(E20&lt;=1.5,"การดำเนินงานต้องปรับปรุงเร่งด่วน",IF(E20&lt;=2.5,"การดำเนินงานต้องปรับปรุง",IF(E20&lt;=3.5,"การดำเนินงานระดับพอใช้",IF(E20&lt;=4.5,"การดำเนินงานระดับดี",IF(E20&lt;=5,"การดำเนินงานระดับดีมาก","ข้อมูลผิด"))))))</f>
        <v>การดำเนินงานระดับดี</v>
      </c>
      <c r="F21" s="203"/>
      <c r="G21" s="201"/>
    </row>
    <row r="22" spans="1:7" ht="33.75" customHeight="1">
      <c r="A22" s="204" t="s">
        <v>176</v>
      </c>
      <c r="B22" s="205"/>
      <c r="C22" s="205"/>
      <c r="D22" s="205"/>
      <c r="E22" s="205"/>
      <c r="F22" s="205"/>
      <c r="G22" s="205"/>
    </row>
    <row r="23" spans="1:7" ht="19.5" customHeight="1">
      <c r="A23" s="609" t="s">
        <v>115</v>
      </c>
      <c r="B23" s="606" t="s">
        <v>81</v>
      </c>
      <c r="C23" s="606"/>
      <c r="D23" s="606"/>
      <c r="E23" s="606"/>
      <c r="F23" s="206" t="s">
        <v>29</v>
      </c>
      <c r="G23" s="606" t="s">
        <v>82</v>
      </c>
    </row>
    <row r="24" spans="1:7" ht="12" customHeight="1">
      <c r="A24" s="606"/>
      <c r="B24" s="606"/>
      <c r="C24" s="606"/>
      <c r="D24" s="606"/>
      <c r="E24" s="606"/>
      <c r="F24" s="192" t="s">
        <v>98</v>
      </c>
      <c r="G24" s="606"/>
    </row>
    <row r="25" spans="1:7" ht="12" customHeight="1">
      <c r="A25" s="606"/>
      <c r="B25" s="606"/>
      <c r="C25" s="606"/>
      <c r="D25" s="606"/>
      <c r="E25" s="606"/>
      <c r="F25" s="192" t="s">
        <v>99</v>
      </c>
      <c r="G25" s="606"/>
    </row>
    <row r="26" spans="1:7" ht="12" customHeight="1">
      <c r="A26" s="606"/>
      <c r="B26" s="606" t="s">
        <v>94</v>
      </c>
      <c r="C26" s="606" t="s">
        <v>95</v>
      </c>
      <c r="D26" s="606" t="s">
        <v>96</v>
      </c>
      <c r="E26" s="606" t="s">
        <v>30</v>
      </c>
      <c r="F26" s="192" t="s">
        <v>100</v>
      </c>
      <c r="G26" s="606"/>
    </row>
    <row r="27" spans="1:7" ht="12" customHeight="1">
      <c r="A27" s="606"/>
      <c r="B27" s="606"/>
      <c r="C27" s="606"/>
      <c r="D27" s="606"/>
      <c r="E27" s="606"/>
      <c r="F27" s="192" t="s">
        <v>178</v>
      </c>
      <c r="G27" s="606"/>
    </row>
    <row r="28" spans="1:7" ht="12" customHeight="1">
      <c r="A28" s="606"/>
      <c r="B28" s="606"/>
      <c r="C28" s="606"/>
      <c r="D28" s="606"/>
      <c r="E28" s="606"/>
      <c r="F28" s="193" t="s">
        <v>101</v>
      </c>
      <c r="G28" s="606"/>
    </row>
    <row r="29" spans="1:7" ht="19.5" customHeight="1">
      <c r="A29" s="614" t="s">
        <v>116</v>
      </c>
      <c r="B29" s="615"/>
      <c r="C29" s="615"/>
      <c r="D29" s="615"/>
      <c r="E29" s="616"/>
      <c r="F29" s="209"/>
      <c r="G29" s="209"/>
    </row>
    <row r="30" spans="1:7" ht="19.5" customHeight="1">
      <c r="A30" s="276" t="s">
        <v>117</v>
      </c>
      <c r="B30" s="210">
        <f>IF(COUNTIF(คะแนน!B12,"Error")&gt;0,"Error",IF(OR(คะแนน!B61=0,COUNT(คะแนน!B12)=0),"",SUM(คะแนน!B12)/IF(COUNT(คะแนน!B12)=0,1,COUNT(คะแนน!B12))))</f>
      </c>
      <c r="C30" s="210">
        <f>IF(COUNTIF(คะแนน!B12,"Error")&gt;0,"Error",IF(OR(คะแนน!B61=0,COUNT(คะแนน!B12)=0),"","-"))</f>
      </c>
      <c r="D30" s="210">
        <f>IF(COUNTIF(คะแนน!B12,"Error")&gt;0,"Error",IF(OR(คะแนน!B61=0,COUNT(คะแนน!B12)=0),"","-"))</f>
      </c>
      <c r="E30" s="210">
        <f>IF(COUNTIF(B30:D30,"Error")&gt;0,"Error",IF(SUM(B30:D30)=0,"",SUM(คะแนน!B12)/IF(COUNT(คะแนน!B12)=0,1,COUNT(คะแนน!B12))))</f>
      </c>
      <c r="F30" s="209">
        <f>IF(E30="","",IF(E30&lt;=1.5,"การดำเนินงานต้องปรับปรุงเร่งด่วน",IF(E30&lt;=2.5,"การดำเนินงานต้องปรับปรุง",IF(E30&lt;=3.5,"การดำเนินงานระดับพอใช้",IF(E30&lt;=4.5,"การดำเนินงานระดับดี",IF(E30&lt;=5,"การดำเนินงานระดับดีมาก","ข้อมูลผิด"))))))</f>
      </c>
      <c r="G30" s="209"/>
    </row>
    <row r="31" spans="1:7" ht="19.5" customHeight="1">
      <c r="A31" s="276" t="s">
        <v>118</v>
      </c>
      <c r="B31" s="210">
        <f>IF((COUNTIF(คะแนน!B8:B11,"Error")+COUNTIF(คะแนน!B13,"Error")+COUNTIF(คะแนน!B20,"Error"))&gt;0,"Error",IF(OR(คะแนน!B61=0,COUNT(คะแนน!B9:B10)=0),"",SUM(คะแนน!B9:B10)/IF(COUNT(คะแนน!B9:B10)=0,1,COUNT(คะแนน!B9:B10))))</f>
      </c>
      <c r="C31" s="210">
        <f>IF((COUNTIF(คะแนน!B8:B11,"Error")+COUNTIF(คะแนน!B13,"Error")+COUNTIF(คะแนน!B20,"Error"))&gt;0,"Error",IF(OR(คะแนน!B61=0,COUNT(คะแนน!B8,คะแนน!B11,คะแนน!B13)=0),"",SUM(คะแนน!B8,คะแนน!B11,คะแนน!B13)/IF(COUNT(คะแนน!B8,คะแนน!B11,คะแนน!B13)=0,1,COUNT(คะแนน!B8,คะแนน!B11,คะแนน!B13))))</f>
      </c>
      <c r="D31" s="210">
        <f>IF((COUNTIF(คะแนน!B8:B11,"Error")+COUNTIF(คะแนน!B13,"Error")+COUNTIF(คะแนน!B20,"Error"))&gt;0,"Error",IF(OR(คะแนน!B61=0,COUNT(คะแนน!B20)=0),"",SUM(คะแนน!B20)/IF(COUNT(คะแนน!B20)=0,1,COUNT(คะแนน!B20))))</f>
      </c>
      <c r="E31" s="210">
        <f>IF(COUNTIF(B31:D31,"Error")&gt;0,"Error",IF(SUM(B31:D31)=0,"",SUM(คะแนน!B8:B11,คะแนน!B13,คะแนน!B20)/IF(COUNT(คะแนน!B8:B11,คะแนน!B13,คะแนน!B20)=0,1,COUNT(คะแนน!B8:B11,คะแนน!B13,คะแนน!B20))))</f>
      </c>
      <c r="F31" s="209">
        <f>IF(E31="","",IF(E31&lt;=1.5,"การดำเนินงานต้องปรับปรุงเร่งด่วน",IF(E31&lt;=2.5,"การดำเนินงานต้องปรับปรุง",IF(E31&lt;=3.5,"การดำเนินงานระดับพอใช้",IF(E31&lt;=4.5,"การดำเนินงานระดับดี",IF(E31&lt;=5,"การดำเนินงานระดับดีมาก","ข้อมูลผิด"))))))</f>
      </c>
      <c r="G31" s="209"/>
    </row>
    <row r="32" spans="1:7" ht="19.5" customHeight="1">
      <c r="A32" s="276" t="s">
        <v>119</v>
      </c>
      <c r="B32" s="210">
        <f>IF(COUNTIF(คะแนน!B44,"Error")&gt;0,"Error",IF(OR(คะแนน!B61=0,COUNT(คะแนน!B44)=0),"","-"))</f>
      </c>
      <c r="C32" s="210">
        <f>IF(COUNTIF(คะแนน!B44,"Error")&gt;0,"Error",IF(OR(คะแนน!B61=0,COUNT(คะแนน!B44)=0),"",SUM(คะแนน!B44)/IF(COUNT(คะแนน!B44)=0,1,COUNT(คะแนน!B44))))</f>
      </c>
      <c r="D32" s="210">
        <f>IF(COUNTIF(คะแนน!B44,"Error")&gt;0,"Error",IF(OR(คะแนน!B61=0,COUNT(คะแนน!B44)=0),"","-"))</f>
      </c>
      <c r="E32" s="210">
        <f>IF(COUNTIF(B32:D32,"Error")&gt;0,"Error",IF(SUM(B32:D32)=0,"",SUM(คะแนน!B44)/IF(COUNT(คะแนน!B44)=0,1,COUNT(คะแนน!B44))))</f>
      </c>
      <c r="F32" s="209">
        <f>IF(E32="","",IF(E32&lt;=1.5,"การดำเนินงานต้องปรับปรุงเร่งด่วน",IF(E32&lt;=2.5,"การดำเนินงานต้องปรับปรุง",IF(E32&lt;=3.5,"การดำเนินงานระดับพอใช้",IF(E32&lt;=4.5,"การดำเนินงานระดับดี",IF(E32&lt;=5,"การดำเนินงานระดับดีมาก","ข้อมูลผิด"))))))</f>
      </c>
      <c r="G32" s="209"/>
    </row>
    <row r="33" spans="1:7" ht="19.5" customHeight="1">
      <c r="A33" s="276" t="s">
        <v>120</v>
      </c>
      <c r="B33" s="210">
        <f>IF((COUNTIF(คะแนน!B4:B7,"Error")+COUNTIF(คะแนน!B38:B43,"Error")+COUNTIF(คะแนน!B45,"Error"))&gt;0,"Error",IF(OR(คะแนน!B61=0,COUNT(คะแนน!B4:B7,คะแนน!B38:B43,คะแนน!B45)=0),"","-"))</f>
      </c>
      <c r="C33" s="210">
        <f>IF((COUNTIF(คะแนน!B4:B7,"Error")+COUNTIF(คะแนน!B38:B43,"Error")+COUNTIF(คะแนน!B45,"Error"))&gt;0,"Error",IF(OR(คะแนน!B61=0,COUNT(คะแนน!B4,คะแนน!B38:B41,คะแนน!B45)=0),"",SUM(คะแนน!B4,คะแนน!B38:B41,คะแนน!B45)/IF(COUNT(คะแนน!B4,คะแนน!B38:B41,คะแนน!B45)=0,1,COUNT(คะแนน!B4,คะแนน!B38:B41,คะแนน!B45))))</f>
      </c>
      <c r="D33" s="210">
        <f>IF((COUNTIF(คะแนน!B4:B7,"Error")+COUNTIF(คะแนน!B38:B43,"Error")+COUNTIF(คะแนน!B45,"Error"))&gt;0,"Error",IF(OR(คะแนน!B61=0,COUNT(คะแนน!B5:B7,คะแนน!B42:B43)=0),"",SUM(คะแนน!B5:B7,คะแนน!B42:B43)/IF(COUNT(คะแนน!B5:B7,คะแนน!B42:B43)=0,1,COUNT(คะแนน!B5:B7,คะแนน!B42:B43))))</f>
      </c>
      <c r="E33" s="210">
        <f>IF(COUNTIF(B33:D33,"Error")&gt;0,"Error",IF(SUM(B33:D33)=0,"",SUM(คะแนน!B4:B7,คะแนน!B38:B43,คะแนน!B45)/IF(COUNT(คะแนน!B4:B7,คะแนน!B38:B43,คะแนน!B45)=0,1,COUNT(คะแนน!B4:B7,คะแนน!B38:B43,คะแนน!B45))))</f>
      </c>
      <c r="F33" s="209">
        <f>IF(E33="","",IF(E33&lt;=1.5,"การดำเนินงานต้องปรับปรุงเร่งด่วน",IF(E33&lt;=2.5,"การดำเนินงานต้องปรับปรุง",IF(E33&lt;=3.5,"การดำเนินงานระดับพอใช้",IF(E33&lt;=4.5,"การดำเนินงานระดับดี",IF(E33&lt;=5,"การดำเนินงานระดับดีมาก","ข้อมูลผิด"))))))</f>
      </c>
      <c r="G33" s="209" t="s">
        <v>92</v>
      </c>
    </row>
    <row r="34" spans="1:7" ht="19.5" customHeight="1">
      <c r="A34" s="209" t="s">
        <v>126</v>
      </c>
      <c r="B34" s="210">
        <f>IF((COUNTIF(คะแนน!B9:B10,"Error")+COUNTIF(คะแนน!B12,"Error"))&gt;0,"Error",IF(OR(คะแนน!B61=0,COUNT(คะแนน!B9:B10,คะแนน!B12)=0),"",SUM(คะแนน!B9:B10,คะแนน!B12)/IF(COUNT(คะแนน!B9:B10,คะแนน!B12)=0,1,COUNT(คะแนน!B9:B10,คะแนน!B12))))</f>
      </c>
      <c r="C34" s="210">
        <f>IF((COUNTIF(คะแนน!B4,"Error")+COUNTIF(คะแนน!B8,"Error")+COUNTIF(คะแนน!B11,"Error")+COUNTIF(คะแนน!B13,"Error")+COUNTIF(คะแนน!B38:B41,"Error")+COUNTIF(คะแนน!B44:B45,"Error"))&gt;0,"Error",IF(OR(คะแนน!B61=0,COUNT(คะแนน!B4,คะแนน!B8,คะแนน!B11,คะแนน!B13,คะแนน!B38:B41,คะแนน!B44:B45)=0),"",SUM(คะแนน!B4,คะแนน!B8,คะแนน!B11,คะแนน!B13,คะแนน!B38:B41,คะแนน!B44:B45)/IF(COUNT(คะแนน!B4,คะแนน!B8,คะแนน!B11,คะแนน!B13,คะแนน!B38:B41,คะแนน!B44:B45)=0,1,COUNT(คะแนน!B4,คะแนน!B8,คะแนน!B11,คะแนน!B13,คะแนน!B38:B41,คะแนน!B44:B45))))</f>
      </c>
      <c r="D34" s="210">
        <f>IF((COUNTIF(คะแนน!B5:B7,"Error")+COUNTIF(คะแนน!B42:B43,"Error"))&gt;0,"Error",IF(OR(คะแนน!B61=0,COUNT(คะแนน!B5:B7,คะแนน!B20,คะแนน!B42:B43)=0),"",SUM(คะแนน!B5:B7,คะแนน!B20,คะแนน!B42:B43)/IF(COUNT(คะแนน!B5:B7,คะแนน!B20,คะแนน!B42:B43)=0,1,COUNT(คะแนน!B5:B7,คะแนน!B20,คะแนน!B42:B43))))</f>
      </c>
      <c r="E34" s="210">
        <f>IF(COUNTIF(B34:D34,"Error")&gt;0,"Error",IF(COUNT(B34:D34)=0,"",SUM(คะแนน!B4:B7,คะแนน!B8:B13,คะแนน!B20,คะแนน!B38:B45)/IF(COUNT(คะแนน!B4:B7,คะแนน!B8:B13,คะแนน!B20,คะแนน!B38:B45)=0,1,COUNT(คะแนน!B4:B7,คะแนน!B8:B13,คะแนน!B20,คะแนน!B38:B45))))</f>
      </c>
      <c r="F34" s="209">
        <f>IF(E34="","",IF(E34&lt;=1.5,"การดำเนินงานต้องปรับปรุงเร่งด่วน",IF(E34&lt;=2.5,"การดำเนินงานต้องปรับปรุง",IF(E34&lt;=3.5,"การดำเนินงานระดับพอใช้",IF(E34&lt;=4.5,"การดำเนินงานระดับดี",IF(E34&lt;=5,"การดำเนินงานระดับดีมาก","ข้อมูลผิด"))))))</f>
      </c>
      <c r="G34" s="209"/>
    </row>
    <row r="35" spans="1:7" ht="19.5" customHeight="1">
      <c r="A35" s="614" t="s">
        <v>32</v>
      </c>
      <c r="B35" s="617"/>
      <c r="C35" s="617"/>
      <c r="D35" s="617"/>
      <c r="E35" s="618"/>
      <c r="F35" s="209"/>
      <c r="G35" s="209"/>
    </row>
    <row r="36" spans="1:7" ht="19.5" customHeight="1">
      <c r="A36" s="276" t="s">
        <v>121</v>
      </c>
      <c r="B36" s="210">
        <f>IF((COUNTIF(คะแนน!B14:B19,"Error")+COUNTIF(คะแนน!B21:B22,"Error"))&gt;0,"Error",IF(OR(คะแนน!B61=0,COUNT(คะแนน!B14:B19,คะแนน!B21:B22)=0),"","-"))</f>
      </c>
      <c r="C36" s="210">
        <f>IF((COUNTIF(คะแนน!B14:B19,"Error")+COUNTIF(คะแนน!B21:B22,"Error"))&gt;0,"Error",IF(OR(คะแนน!B61=0,COUNT(คะแนน!B14,คะแนน!B21:B22)=0),"",SUM(คะแนน!B14,คะแนน!B21:B22)/IF(COUNT(คะแนน!B14,คะแนน!B21:B22)=0,1,COUNT(คะแนน!B14,คะแนน!B21:B22))))</f>
      </c>
      <c r="D36" s="210">
        <f>IF((COUNTIF(คะแนน!B14:B19,"Error")+COUNTIF(คะแนน!B21:B22,"Error"))&gt;0,"Error",IF(OR(คะแนน!B61=0,COUNT(คะแนน!B15:B19)=0),"",SUM(คะแนน!B15:B19)/IF(COUNT(คะแนน!B15:B19)=0,1,COUNT(คะแนน!B15:B19))))</f>
      </c>
      <c r="E36" s="210">
        <f>IF(COUNTIF(B36:D36,"Error")&gt;0,"Error",IF(SUM(B36:D36)=0,"",SUM(คะแนน!B14:B19,คะแนน!B21:B22)/IF(COUNT(คะแนน!B14:B19,คะแนน!B21:B22)=0,1,COUNT(คะแนน!B14:B19,คะแนน!B21:B22))))</f>
      </c>
      <c r="F36" s="209">
        <f aca="true" t="shared" si="1" ref="F36:F41">IF(E36="","",IF(E36&lt;=1.5,"การดำเนินงานต้องปรับปรุงเร่งด่วน",IF(E36&lt;=2.5,"การดำเนินงานต้องปรับปรุง",IF(E36&lt;=3.5,"การดำเนินงานระดับพอใช้",IF(E36&lt;=4.5,"การดำเนินงานระดับดี",IF(E36&lt;=5,"การดำเนินงานระดับดีมาก","ข้อมูลผิด"))))))</f>
      </c>
      <c r="G36" s="209"/>
    </row>
    <row r="37" spans="1:7" ht="19.5" customHeight="1">
      <c r="A37" s="276" t="s">
        <v>122</v>
      </c>
      <c r="B37" s="210">
        <f>IF(COUNTIF(คะแนน!B23:B28,"Error")&gt;0,"Error",IF(OR(คะแนน!B61=0,COUNT(คะแนน!B25)=0),"",SUM(คะแนน!B25)/IF(COUNT(คะแนน!B25)=0,1,COUNT(คะแนน!B25))))</f>
      </c>
      <c r="C37" s="210">
        <f>IF(COUNTIF(คะแนน!B23:B28,"Error")&gt;0,"Error",IF(OR(คะแนน!B61=0,COUNT(คะแนน!B23:B24)=0),"",SUM(คะแนน!B23:B24)/IF(COUNT(คะแนน!B23:B24)=0,1,COUNT(คะแนน!B23:B24))))</f>
      </c>
      <c r="D37" s="210">
        <f>IF(COUNTIF(คะแนน!B23:B28,"Error")&gt;0,"Error",IF(OR(คะแนน!B61=0,COUNT(คะแนน!B26:B28)=0),"",SUM(คะแนน!B26:B28)/IF(COUNT(คะแนน!B26:B28)=0,1,COUNT(คะแนน!B26:B28))))</f>
      </c>
      <c r="E37" s="210">
        <f>IF(COUNTIF(B37:D37,"Error")&gt;0,"Error",IF(SUM(B37:D37)=0,"",SUM(คะแนน!B23:B28)/IF(COUNT(คะแนน!B23:B28)=0,1,COUNT(คะแนน!B23:B28))))</f>
      </c>
      <c r="F37" s="209">
        <f t="shared" si="1"/>
      </c>
      <c r="G37" s="272"/>
    </row>
    <row r="38" spans="1:7" ht="43.5">
      <c r="A38" s="277" t="s">
        <v>123</v>
      </c>
      <c r="B38" s="210">
        <f>IF(COUNTIF(คะแนน!B29:B34,"Error")&gt;0,"Error",IF(OR(คะแนน!B61=0,COUNT(คะแนน!B29:B34)=0),"","-"))</f>
      </c>
      <c r="C38" s="210">
        <f>IF(COUNTIF(คะแนน!B29:B34,"Error")&gt;0,"Error",IF(OR(คะแนน!B61=0,COUNT(คะแนน!B29:B30)=0),"",SUM(คะแนน!B29:B30)/IF(COUNT(คะแนน!B29:B30)=0,1,COUNT(คะแนน!B29:B30))))</f>
      </c>
      <c r="D38" s="210">
        <f>IF(COUNTIF(คะแนน!B29:B34,"Error")&gt;0,"Error",IF(OR(คะแนน!B61=0,COUNT(คะแนน!B31:B34)=0),"",SUM(คะแนน!B31:B34)/IF(COUNT(คะแนน!B31:B34)=0,1,COUNT(คะแนน!B31:B34))))</f>
      </c>
      <c r="E38" s="210">
        <f>IF(COUNTIF(B38:D38,"Error")&gt;0,"Error",IF(SUM(B38:D38)=0,"",SUM(คะแนน!B29:B34)/IF(COUNT(คะแนน!B29:B34)=0,1,COUNT(คะแนน!B29:B34))))</f>
      </c>
      <c r="F38" s="209">
        <f t="shared" si="1"/>
      </c>
      <c r="G38" s="209"/>
    </row>
    <row r="39" spans="1:7" ht="43.5">
      <c r="A39" s="277" t="s">
        <v>124</v>
      </c>
      <c r="B39" s="210">
        <f>IF(COUNTIF(คะแนน!B35:B37,"Error")&gt;0,"Error",IF(OR(คะแนน!B61=0,COUNT(คะแนน!B35:B37)=0),"","-"))</f>
      </c>
      <c r="C39" s="210">
        <f>IF(COUNTIF(คะแนน!B35:B37,"Error")&gt;0,"Error",IF(OR(คะแนน!B61=0,COUNT(คะแนน!B35)=0),"",SUM(คะแนน!B35)/IF(COUNT(คะแนน!B35)=0,1,COUNT(คะแนน!B35))))</f>
      </c>
      <c r="D39" s="210">
        <f>IF(COUNTIF(คะแนน!B35:B37,"Error")&gt;0,"Error",IF(OR(คะแนน!B61=0,COUNT(คะแนน!B36:B37)=0),"",SUM(คะแนน!B36:B37)/IF(COUNT(คะแนน!B36:B37)=0,1,COUNT(คะแนน!B36:B37))))</f>
      </c>
      <c r="E39" s="210">
        <f>IF(COUNTIF(B39:D39,"Error")&gt;0,"Error",IF(SUM(B39:D39)=0,"",SUM(คะแนน!B35:B37)/IF(COUNT(คะแนน!B35:B37)=0,1,COUNT(คะแนน!B35:B37))))</f>
      </c>
      <c r="F39" s="209">
        <f t="shared" si="1"/>
      </c>
      <c r="G39" s="209"/>
    </row>
    <row r="40" spans="1:7" ht="19.5" customHeight="1">
      <c r="A40" s="209" t="s">
        <v>125</v>
      </c>
      <c r="B40" s="210">
        <f>IF(COUNTIF(คะแนน!B25,"Error")&gt;0,"Error",IF(OR(คะแนน!B61=0,COUNT(คะแนน!B25)=0),"",SUM(คะแนน!B25)/IF(COUNT(คะแนน!B25)=0,1,COUNT(คะแนน!B25))))</f>
      </c>
      <c r="C40" s="210">
        <f>IF((COUNTIF(คะแนน!B14,"Error")+COUNTIF(คะแนน!B21:B24,"Error")+COUNTIF(คะแนน!B29:B30,"Error")+COUNTIF(คะแนน!B35,"Error"))&gt;0,"Error",IF(OR(คะแนน!B61=0,COUNT(คะแนน!B14,คะแนน!B21:B24,คะแนน!B29:B30,คะแนน!B35)=0),"",SUM(คะแนน!B14,คะแนน!B21:B24,คะแนน!B29:B30,คะแนน!B35)/IF(COUNT(คะแนน!B14,คะแนน!B21:B24,คะแนน!B29:B30,คะแนน!B35)=0,1,COUNT(คะแนน!B14,คะแนน!B21:B24,คะแนน!B29:B30,คะแนน!B35))))</f>
      </c>
      <c r="D40" s="210">
        <f>IF((COUNTIF(คะแนน!B15:B19,"Error")+COUNTIF(คะแนน!B26:B28,"Error")+COUNTIF(คะแนน!B31:B34,"Error")+COUNTIF(คะแนน!B36:B37,"Error"))&gt;0,"Error",IF(OR(คะแนน!B61=0,COUNT(คะแนน!B15:B19,คะแนน!B26:B28,คะแนน!B31:B34,คะแนน!B36:B37)=0),"",SUM(คะแนน!B15:B19,คะแนน!B26:B28,คะแนน!B31:B34,คะแนน!B36:B37)/IF(COUNT(คะแนน!B15:B19,คะแนน!B26:B28,คะแนน!B31:B34,คะแนน!B36:B37)=0,1,COUNT(คะแนน!B15:B19,คะแนน!B26:B28,คะแนน!B31:B34,คะแนน!B36:B37))))</f>
      </c>
      <c r="E40" s="210">
        <f>IF(COUNTIF(B40:D40,"Error")&gt;0,"Error",IF(COUNT(B40:D40)=0,"",SUM(คะแนน!B14:B19,คะแนน!B21:B37)/IF(COUNT(คะแนน!B14:B19,คะแนน!B21:B37)=0,1,COUNT(คะแนน!B14:B19,คะแนน!B21:B37))))</f>
      </c>
      <c r="F40" s="209">
        <f t="shared" si="1"/>
      </c>
      <c r="G40" s="209"/>
    </row>
    <row r="41" spans="1:7" ht="45">
      <c r="A41" s="212" t="s">
        <v>114</v>
      </c>
      <c r="B41" s="210">
        <f>IF((COUNTIF(B30:B33,"Error")+COUNTIF(B36:B39,"Error"))&gt;0,"Error",IF(SUM(B30:B33,B36:B39)=0,"",SUM(คะแนน!B9:B10,คะแนน!B12,คะแนน!B25)/IF(COUNT(คะแนน!B9:B10,คะแนน!B12,คะแนน!B25)=0,1,COUNT(คะแนน!B9:B10,คะแนน!B12,คะแนน!B25))))</f>
      </c>
      <c r="C41" s="210">
        <f>IF((COUNTIF(C30:C33,"Error")+COUNTIF(C36:C39,"Error"))&gt;0,"Error",IF(SUM(C30:C33,C36:C39)=0,"",SUM(คะแนน!B4,คะแนน!B8,คะแนน!B11,คะแนน!B13:B14,คะแนน!B21:B24,คะแนน!B29:B30,คะแนน!B35,คะแนน!B38:B41,คะแนน!B44:B45)/IF(COUNT(คะแนน!B4,คะแนน!B8,คะแนน!B11,คะแนน!B13:B14,คะแนน!B21:B24,คะแนน!B29:B30,คะแนน!B35,คะแนน!B38:B41,คะแนน!B44:B45)=0,1,COUNT(คะแนน!B4,คะแนน!B8,คะแนน!B11,คะแนน!B13:B14,คะแนน!B21:B24,คะแนน!B29:B30,คะแนน!B35,คะแนน!B38:B41,คะแนน!B44:B45))))</f>
      </c>
      <c r="D41" s="210">
        <f>IF((COUNTIF(D30:D33,"Error")+COUNTIF(D36:D39,"Error"))&gt;0,"Error",IF(COUNT(D30:D33,D36:D39)=0,"",SUM(คะแนน!B5:B7,คะแนน!B15:B20,คะแนน!B26:B28,คะแนน!B31:B34,คะแนน!B36:B37,คะแนน!B42:B43)/IF(COUNT(คะแนน!B5:B7,คะแนน!B15:B20,คะแนน!B26:B28,คะแนน!B31:B34,คะแนน!B36:B37,คะแนน!B42:B43)=0,1,COUNT(คะแนน!B5:B7,คะแนน!B15:B20,คะแนน!B26:B28,คะแนน!B31:B34,คะแนน!B36:B37,คะแนน!B42:B43))))</f>
      </c>
      <c r="E41" s="210">
        <f>IF((COUNTIF(E30:E33,"Error")+COUNTIF(E36:E39,"Error"))&gt;0,"Error",IF(SUM(E30:E33,E36:E39)=0,"",SUM(คะแนน!B4:B45)/IF(COUNT(คะแนน!B4:B45)=0,1,COUNT(คะแนน!B4:B45))))</f>
      </c>
      <c r="F41" s="209">
        <f t="shared" si="1"/>
      </c>
      <c r="G41" s="209"/>
    </row>
    <row r="42" spans="1:7" ht="67.5" customHeight="1">
      <c r="A42" s="209" t="s">
        <v>29</v>
      </c>
      <c r="B42" s="194">
        <f>IF(B41="","",IF(B41&lt;=1.5,"การดำเนินงานต้องปรับปรุงเร่งด่วน",IF(B41&lt;=2.5,"การดำเนินงานต้องปรับปรุง",IF(B41&lt;=3.5,"การดำเนินงานระดับพอใช้",IF(B41&lt;=4.5,"การดำเนินงานระดับดี",IF(B41&lt;=5,"การดำเนินงานระดับดีมาก","ข้อมูลผิด"))))))</f>
      </c>
      <c r="C42" s="194">
        <f>IF(C41="","",IF(C41&lt;=1.5,"การดำเนินงานต้องปรับปรุงเร่งด่วน",IF(C41&lt;=2.5,"การดำเนินงานต้องปรับปรุง",IF(C41&lt;=3.5,"การดำเนินงานระดับพอใช้",IF(C41&lt;=4.5,"การดำเนินงานระดับดี",IF(C41&lt;=5,"การดำเนินงานระดับดีมาก","ข้อมูลผิด"))))))</f>
      </c>
      <c r="D42" s="194">
        <f>IF(D41="","",IF(D41&lt;=1.5,"การดำเนินงานต้องปรับปรุงเร่งด่วน",IF(D41&lt;=2.5,"การดำเนินงานต้องปรับปรุง",IF(D41&lt;=3.5,"การดำเนินงานระดับพอใช้",IF(D41&lt;=4.5,"การดำเนินงานระดับดี",IF(D41&lt;=5,"การดำเนินงานระดับดีมาก","ข้อมูลผิด"))))))</f>
      </c>
      <c r="E42" s="194">
        <f>IF(E41="","",IF(E41&lt;=1.5,"การดำเนินงานต้องปรับปรุงเร่งด่วน",IF(E41&lt;=2.5,"การดำเนินงานต้องปรับปรุง",IF(E41&lt;=3.5,"การดำเนินงานระดับพอใช้",IF(E41&lt;=4.5,"การดำเนินงานระดับดี",IF(E41&lt;=5,"การดำเนินงานระดับดีมาก","ข้อมูลผิด"))))))</f>
      </c>
      <c r="F42" s="213"/>
      <c r="G42" s="209"/>
    </row>
    <row r="43" spans="1:7" ht="33.75" customHeight="1">
      <c r="A43" s="214" t="s">
        <v>177</v>
      </c>
      <c r="B43" s="215"/>
      <c r="C43" s="215"/>
      <c r="D43" s="215"/>
      <c r="E43" s="215"/>
      <c r="F43" s="215"/>
      <c r="G43" s="215"/>
    </row>
    <row r="44" spans="1:7" ht="19.5" customHeight="1">
      <c r="A44" s="608" t="s">
        <v>115</v>
      </c>
      <c r="B44" s="605" t="s">
        <v>81</v>
      </c>
      <c r="C44" s="605"/>
      <c r="D44" s="605"/>
      <c r="E44" s="605"/>
      <c r="F44" s="216" t="s">
        <v>29</v>
      </c>
      <c r="G44" s="605" t="s">
        <v>82</v>
      </c>
    </row>
    <row r="45" spans="1:7" ht="12" customHeight="1">
      <c r="A45" s="605"/>
      <c r="B45" s="605"/>
      <c r="C45" s="605"/>
      <c r="D45" s="605"/>
      <c r="E45" s="605"/>
      <c r="F45" s="195" t="s">
        <v>98</v>
      </c>
      <c r="G45" s="605"/>
    </row>
    <row r="46" spans="1:7" ht="12" customHeight="1">
      <c r="A46" s="605"/>
      <c r="B46" s="605"/>
      <c r="C46" s="605"/>
      <c r="D46" s="605"/>
      <c r="E46" s="605"/>
      <c r="F46" s="195" t="s">
        <v>99</v>
      </c>
      <c r="G46" s="605"/>
    </row>
    <row r="47" spans="1:7" ht="12" customHeight="1">
      <c r="A47" s="605"/>
      <c r="B47" s="605" t="s">
        <v>94</v>
      </c>
      <c r="C47" s="605" t="s">
        <v>95</v>
      </c>
      <c r="D47" s="605" t="s">
        <v>96</v>
      </c>
      <c r="E47" s="605" t="s">
        <v>30</v>
      </c>
      <c r="F47" s="195" t="s">
        <v>100</v>
      </c>
      <c r="G47" s="605"/>
    </row>
    <row r="48" spans="1:7" ht="12" customHeight="1">
      <c r="A48" s="605"/>
      <c r="B48" s="605"/>
      <c r="C48" s="605"/>
      <c r="D48" s="605"/>
      <c r="E48" s="605"/>
      <c r="F48" s="195" t="s">
        <v>178</v>
      </c>
      <c r="G48" s="605"/>
    </row>
    <row r="49" spans="1:7" ht="12" customHeight="1">
      <c r="A49" s="605"/>
      <c r="B49" s="605"/>
      <c r="C49" s="605"/>
      <c r="D49" s="605"/>
      <c r="E49" s="605"/>
      <c r="F49" s="196" t="s">
        <v>101</v>
      </c>
      <c r="G49" s="605"/>
    </row>
    <row r="50" spans="1:7" ht="19.5" customHeight="1">
      <c r="A50" s="611" t="s">
        <v>116</v>
      </c>
      <c r="B50" s="619"/>
      <c r="C50" s="619"/>
      <c r="D50" s="619"/>
      <c r="E50" s="620"/>
      <c r="F50" s="219"/>
      <c r="G50" s="219"/>
    </row>
    <row r="51" spans="1:7" ht="19.5" customHeight="1">
      <c r="A51" s="278" t="s">
        <v>117</v>
      </c>
      <c r="B51" s="220">
        <f>IF(COUNTIF(คะแนน!B12:V12,"Error")&gt;0,"Error",IF(OR(คะแนน!B62=0,COUNT(คะแนน!B12:V12)=0),"",SUM(คะแนน!B12:V12)/IF(COUNT(คะแนน!B12:V12)=0,1,COUNT(คะแนน!B12:V12))))</f>
        <v>5</v>
      </c>
      <c r="C51" s="220" t="str">
        <f>IF(COUNTIF(คะแนน!B12:V12,"Error")&gt;0,"Error",IF(OR(คะแนน!B62=0,COUNT(คะแนน!B12:V12)=0),"","-"))</f>
        <v>-</v>
      </c>
      <c r="D51" s="220" t="str">
        <f>IF(COUNTIF(คะแนน!B12:V12,"Error")&gt;0,"Error",IF(OR(คะแนน!B62=0,COUNT(คะแนน!B12:V12)=0),"","-"))</f>
        <v>-</v>
      </c>
      <c r="E51" s="220">
        <f>IF(COUNTIF(B51:D51,"Error")&gt;0,"Error",IF(SUM(B51:D51)=0,"",SUM(คะแนน!B12:V12)/IF(COUNT(คะแนน!B12:V12)=0,1,COUNT(คะแนน!B12:V12))))</f>
        <v>5</v>
      </c>
      <c r="F51" s="219" t="str">
        <f>IF(E51="","",IF(E51&lt;=1.5,"การดำเนินงานต้องปรับปรุงเร่งด่วน",IF(E51&lt;=2.5,"การดำเนินงานต้องปรับปรุง",IF(E51&lt;=3.5,"การดำเนินงานระดับพอใช้",IF(E51&lt;=4.5,"การดำเนินงานระดับดี",IF(E51&lt;=5,"การดำเนินงานระดับดีมาก","ข้อมูลผิด"))))))</f>
        <v>การดำเนินงานระดับดีมาก</v>
      </c>
      <c r="G51" s="219"/>
    </row>
    <row r="52" spans="1:7" ht="19.5" customHeight="1">
      <c r="A52" s="278" t="s">
        <v>118</v>
      </c>
      <c r="B52" s="220">
        <f>IF((COUNTIF(คะแนน!B8:V11,"Error")+COUNTIF(คะแนน!B13:V13,"Error")+COUNTIF(คะแนน!B20:V20,"Error"))&gt;0,"Error",IF(OR(คะแนน!B62=0,COUNT(คะแนน!B9:V10)=0),"",SUM(คะแนน!B9:V10)/IF(COUNT(คะแนน!B9:V10)=0,1,COUNT(คะแนน!B9:V10))))</f>
        <v>0</v>
      </c>
      <c r="C52" s="220">
        <f>IF((COUNTIF(คะแนน!B8:V11,"Error")+COUNTIF(คะแนน!B13:V13,"Error")+COUNTIF(คะแนน!B20:V20,"Error"))&gt;0,"Error",IF(OR(คะแนน!B62=0,COUNT(คะแนน!B8:V8,คะแนน!B11:V11,คะแนน!B13:V13)=0),"",SUM(คะแนน!B8:V8,คะแนน!B11:V11,คะแนน!B13:V13)/IF(COUNT(คะแนน!B8:V8,คะแนน!B11:V11,คะแนน!B13:V13)=0,1,COUNT(คะแนน!B8:V8,คะแนน!B11:V11,คะแนน!B13:V13))))</f>
        <v>4</v>
      </c>
      <c r="D52" s="220">
        <f>IF((COUNTIF(คะแนน!B8:V11,"Error")+COUNTIF(คะแนน!B13:V13,"Error")+COUNTIF(คะแนน!B20:V20,"Error"))&gt;0,"Error",IF(OR(คะแนน!B62=0,COUNT(คะแนน!B20:V20)=0),"",SUM(คะแนน!B20:V20)/IF(COUNT(คะแนน!B20:V20)=0,1,COUNT(คะแนน!B20:V20))))</f>
      </c>
      <c r="E52" s="220">
        <f>IF(COUNTIF(B52:D52,"Error")&gt;0,"Error",IF(SUM(B52:D52)=0,"",SUM(คะแนน!B50:B53,คะแนน!B55)/IF(COUNT(คะแนน!B50:B53,คะแนน!B55)=0,1,COUNT(คะแนน!B50:B53,คะแนน!B55))))</f>
        <v>4.043478260869565</v>
      </c>
      <c r="F52" s="219" t="str">
        <f>IF(E52="","",IF(E52&lt;=1.5,"การดำเนินงานต้องปรับปรุงเร่งด่วน",IF(E52&lt;=2.5,"การดำเนินงานต้องปรับปรุง",IF(E52&lt;=3.5,"การดำเนินงานระดับพอใช้",IF(E52&lt;=4.5,"การดำเนินงานระดับดี",IF(E52&lt;=5,"การดำเนินงานระดับดีมาก","ข้อมูลผิด"))))))</f>
        <v>การดำเนินงานระดับดี</v>
      </c>
      <c r="G52" s="219"/>
    </row>
    <row r="53" spans="1:7" ht="19.5" customHeight="1">
      <c r="A53" s="278" t="s">
        <v>119</v>
      </c>
      <c r="B53" s="220" t="str">
        <f>IF(COUNTIF(คะแนน!B44:V44,"Error")&gt;0,"Error",IF(OR(คะแนน!B62=0,COUNT(คะแนน!B44:V44)=0),"","-"))</f>
        <v>-</v>
      </c>
      <c r="C53" s="220">
        <f>IF(COUNTIF(คะแนน!B44:V44,"Error")&gt;0,"Error",IF(OR(คะแนน!B62=0,COUNT(คะแนน!B44:V44)=0),"",SUM(คะแนน!B44:V44)/IF(COUNT(คะแนน!B44:V44)=0,1,COUNT(คะแนน!B44:V44))))</f>
        <v>4</v>
      </c>
      <c r="D53" s="220" t="str">
        <f>IF(COUNTIF(คะแนน!B44:V44,"Error")&gt;0,"Error",IF(OR(คะแนน!B62=0,COUNT(คะแนน!B44:V44)=0),"","-"))</f>
        <v>-</v>
      </c>
      <c r="E53" s="220">
        <f>IF(COUNTIF(B53:D53,"Error")&gt;0,"Error",IF(SUM(B53:D53)=0,"",SUM(คะแนน!B44:V44)/IF(COUNT(คะแนน!B44:V44)=0,1,COUNT(คะแนน!B44:V44))))</f>
        <v>4</v>
      </c>
      <c r="F53" s="219" t="str">
        <f>IF(E53="","",IF(E53&lt;=1.5,"การดำเนินงานต้องปรับปรุงเร่งด่วน",IF(E53&lt;=2.5,"การดำเนินงานต้องปรับปรุง",IF(E53&lt;=3.5,"การดำเนินงานระดับพอใช้",IF(E53&lt;=4.5,"การดำเนินงานระดับดี",IF(E53&lt;=5,"การดำเนินงานระดับดีมาก","ข้อมูลผิด"))))))</f>
        <v>การดำเนินงานระดับดี</v>
      </c>
      <c r="G53" s="219"/>
    </row>
    <row r="54" spans="1:7" ht="19.5" customHeight="1">
      <c r="A54" s="278" t="s">
        <v>120</v>
      </c>
      <c r="B54" s="220" t="str">
        <f>IF((COUNTIF(คะแนน!B4:V7,"Error")+COUNTIF(คะแนน!B38:V43,"Error")+COUNTIF(คะแนน!B45:V45,"Error"))&gt;0,"Error",IF(OR(คะแนน!B62=0,COUNT(คะแนน!B4:V7,คะแนน!B38:V43,คะแนน!B45:V45)=0),"","-"))</f>
        <v>-</v>
      </c>
      <c r="C54" s="220">
        <f>IF((COUNTIF(คะแนน!B4:V7,"Error")+COUNTIF(คะแนน!B38:V43,"Error")+COUNTIF(คะแนน!B45:V45,"Error"))&gt;0,"Error",IF(OR(คะแนน!B62=0,COUNT(คะแนน!B4:V4,คะแนน!B38:V41,คะแนน!B45:V45)=0),"",SUM(คะแนน!B4:V4,คะแนน!B38:V41,คะแนน!B45:V45)/IF(COUNT(คะแนน!B4:V4,คะแนน!B38:V41,คะแนน!B45:V45)=0,1,COUNT(คะแนน!B4:V4,คะแนน!B38:V41,คะแนน!B45:V45))))</f>
        <v>4.5</v>
      </c>
      <c r="D54" s="220">
        <f>IF((COUNTIF(คะแนน!B4:V7,"Error")+COUNTIF(คะแนน!B38:V43,"Error")+COUNTIF(คะแนน!B45:V45,"Error"))&gt;0,"Error",IF(OR(คะแนน!B62=0,COUNT(คะแนน!B5:V7,คะแนน!B42:V43)=0),"",SUM(คะแนน!B5:V7,คะแนน!B42:V43)/IF(COUNT(คะแนน!B5:V7,คะแนน!B42:V43)=0,1,COUNT(คะแนน!B5:V7,คะแนน!B42:V43))))</f>
        <v>5</v>
      </c>
      <c r="E54" s="220">
        <f>IF(COUNTIF(B54:D54,"Error")&gt;0,"Error",IF(SUM(B54:D54)=0,"",SUM(คะแนน!B4:V7,คะแนน!B38:V43,คะแนน!B45:V45)/IF(COUNT(คะแนน!B4:V7,คะแนน!B38:V43,คะแนน!B45:V45)=0,1,COUNT(คะแนน!B4:V7,คะแนน!B38:V43,คะแนน!B45:V45))))</f>
        <v>4.571428571428571</v>
      </c>
      <c r="F54" s="219" t="str">
        <f>IF(E54="","",IF(E54&lt;=1.5,"การดำเนินงานต้องปรับปรุงเร่งด่วน",IF(E54&lt;=2.5,"การดำเนินงานต้องปรับปรุง",IF(E54&lt;=3.5,"การดำเนินงานระดับพอใช้",IF(E54&lt;=4.5,"การดำเนินงานระดับดี",IF(E54&lt;=5,"การดำเนินงานระดับดีมาก","ข้อมูลผิด"))))))</f>
        <v>การดำเนินงานระดับดีมาก</v>
      </c>
      <c r="G54" s="219" t="s">
        <v>92</v>
      </c>
    </row>
    <row r="55" spans="1:7" ht="19.5" customHeight="1">
      <c r="A55" s="219" t="s">
        <v>126</v>
      </c>
      <c r="B55" s="220">
        <f>IF((COUNTIF(คะแนน!B9:V10,"Error")+COUNTIF(คะแนน!B12:V12,"Error"))&gt;0,"Error",IF(OR(คะแนน!B62=0,COUNT(คะแนน!B9:V10,คะแนน!B12:V12)=0),"",SUM(คะแนน!B9:V10,คะแนน!B12:V12)/IF(COUNT(คะแนน!B9:V10,คะแนน!B12:V12)=0,1,COUNT(คะแนน!B9:V10,คะแนน!B12:V12))))</f>
        <v>1.6666666666666667</v>
      </c>
      <c r="C55" s="220">
        <f>IF((COUNTIF(คะแนน!B4:V4,"Error")+COUNTIF(คะแนน!B8:V8,"Error")+COUNTIF(คะแนน!B11:V11,"Error")+COUNTIF(คะแนน!B13:V13,"Error")+COUNTIF(คะแนน!B38:V41,"Error")+COUNTIF(คะแนน!B44:V45,"Error"))&gt;0,"Error",IF(OR(คะแนน!B62=0,COUNT(คะแนน!B4:V4,คะแนน!B8:V8,คะแนน!B11:V11,คะแนน!B13:V13,คะแนน!B38:V41,คะแนน!B44:V45)=0),"",SUM(คะแนน!B4:V4,คะแนน!B8:V8,คะแนน!B11:V11,คะแนน!B13:V13,คะแนน!B38:V41,คะแนน!B44:V45)/IF(COUNT(คะแนน!B4:V4,คะแนน!B8:V8,คะแนน!B11:V11,คะแนน!B13:V13,คะแนน!B38:V41,คะแนน!B44:V45)=0,1,COUNT(คะแนน!B4:V4,คะแนน!B8:V8,คะแนน!B11:V11,คะแนน!B13:V13,คะแนน!B38:V41,คะแนน!B44:V45))))</f>
        <v>4.3</v>
      </c>
      <c r="D55" s="220">
        <f>IF((COUNTIF(คะแนน!B5:V7,"Error")+COUNTIF(คะแนน!B42:V43,"Error"))&gt;0,"Error",IF(OR(คะแนน!B62=0,COUNT(คะแนน!B5:V7,คะแนน!B20:V20,คะแนน!B42:V43)=0),"",SUM(คะแนน!B5:V7,คะแนน!B20:V20,คะแนน!B42:V43)/IF(COUNT(คะแนน!B5:V7,คะแนน!B20:V20,คะแนน!B42:V43)=0,1,COUNT(คะแนน!B5:V7,คะแนน!B20:V20,คะแนน!B42:V43))))</f>
        <v>5</v>
      </c>
      <c r="E55" s="220">
        <f>IF(COUNTIF(B55:D55,"Error")&gt;0,"Error",IF(COUNT(B55:D55)=0,"",SUM(คะแนน!B4:V7,คะแนน!B8:V13,คะแนน!B20:V20,คะแนน!B38:V45)/IF(COUNT(คะแนน!B4:V7,คะแนน!B8:V13,คะแนน!B20:V20,คะแนน!B38:V45)=0,1,COUNT(คะแนน!B4:V7,คะแนน!B8:V13,คะแนน!B20:V20,คะแนน!B38:V45))))</f>
        <v>3.7857142857142856</v>
      </c>
      <c r="F55" s="219" t="str">
        <f>IF(E55="","",IF(E55&lt;=1.5,"การดำเนินงานต้องปรับปรุงเร่งด่วน",IF(E55&lt;=2.5,"การดำเนินงานต้องปรับปรุง",IF(E55&lt;=3.5,"การดำเนินงานระดับพอใช้",IF(E55&lt;=4.5,"การดำเนินงานระดับดี",IF(E55&lt;=5,"การดำเนินงานระดับดีมาก","ข้อมูลผิด"))))))</f>
        <v>การดำเนินงานระดับดี</v>
      </c>
      <c r="G55" s="219"/>
    </row>
    <row r="56" spans="1:7" ht="19.5" customHeight="1">
      <c r="A56" s="611" t="s">
        <v>32</v>
      </c>
      <c r="B56" s="612"/>
      <c r="C56" s="612"/>
      <c r="D56" s="612"/>
      <c r="E56" s="613"/>
      <c r="F56" s="219"/>
      <c r="G56" s="219"/>
    </row>
    <row r="57" spans="1:7" ht="19.5" customHeight="1">
      <c r="A57" s="278" t="s">
        <v>121</v>
      </c>
      <c r="B57" s="220" t="str">
        <f>IF((COUNTIF(คะแนน!B14:V19,"Error")+COUNTIF(คะแนน!B21:V22,"Error"))&gt;0,"Error",IF(OR(คะแนน!B62=0,COUNT(คะแนน!B14:V19,คะแนน!B21:V22)=0),"","-"))</f>
        <v>-</v>
      </c>
      <c r="C57" s="220">
        <f>IF((COUNTIF(คะแนน!B14:V19,"Error")+COUNTIF(คะแนน!B21:V22,"Error"))&gt;0,"Error",IF(OR(คะแนน!B62=0,COUNT(คะแนน!B14:V14,คะแนน!B21:V22)=0),"",SUM(คะแนน!B14:V14,คะแนน!B21:V22)/IF(COUNT(คะแนน!B14:V14,คะแนน!B21:V22)=0,1,COUNT(คะแนน!B14:V14,คะแนน!B21:V22))))</f>
        <v>4.666666666666667</v>
      </c>
      <c r="D57" s="220">
        <f>IF((COUNTIF(คะแนน!B14:V19,"Error")+COUNTIF(คะแนน!B21:V22,"Error"))&gt;0,"Error",IF(OR(คะแนน!B62=0,COUNT(คะแนน!B15:V19)=0),"",SUM(คะแนน!B15:V19)/IF(COUNT(คะแนน!B15:V19)=0,1,COUNT(คะแนน!B15:V19))))</f>
        <v>4</v>
      </c>
      <c r="E57" s="220">
        <f>IF(COUNTIF(B57:D57,"Error")&gt;0,"Error",IF(SUM(B57:D57)=0,"",SUM(คะแนน!B14:V19,คะแนน!B21:V22)/IF(COUNT(คะแนน!B14:V19,คะแนน!B21:V22)=0,1,COUNT(คะแนน!B14:V19,คะแนน!B21:V22))))</f>
        <v>4.5</v>
      </c>
      <c r="F57" s="219" t="str">
        <f aca="true" t="shared" si="2" ref="F57:F62">IF(E57="","",IF(E57&lt;=1.5,"การดำเนินงานต้องปรับปรุงเร่งด่วน",IF(E57&lt;=2.5,"การดำเนินงานต้องปรับปรุง",IF(E57&lt;=3.5,"การดำเนินงานระดับพอใช้",IF(E57&lt;=4.5,"การดำเนินงานระดับดี",IF(E57&lt;=5,"การดำเนินงานระดับดีมาก","ข้อมูลผิด"))))))</f>
        <v>การดำเนินงานระดับดี</v>
      </c>
      <c r="G57" s="219"/>
    </row>
    <row r="58" spans="1:7" ht="19.5" customHeight="1">
      <c r="A58" s="278" t="s">
        <v>122</v>
      </c>
      <c r="B58" s="220">
        <f>IF(COUNTIF(คะแนน!B23:V28,"Error")&gt;0,"Error",IF(OR(คะแนน!B62=0,COUNT(คะแนน!B25:V25)=0),"",SUM(คะแนน!B25:V25)/IF(COUNT(คะแนน!B25:V25)=0,1,COUNT(คะแนน!B25:V25))))</f>
        <v>5</v>
      </c>
      <c r="C58" s="220">
        <f>IF(COUNTIF(คะแนน!B23:V28,"Error")&gt;0,"Error",IF(OR(คะแนน!B62=0,COUNT(คะแนน!B23:V24)=0),"",SUM(คะแนน!B23:V24)/IF(COUNT(คะแนน!B23:V24)=0,1,COUNT(คะแนน!B23:V24))))</f>
        <v>4</v>
      </c>
      <c r="D58" s="220">
        <f>IF(COUNTIF(คะแนน!B23:V28,"Error")&gt;0,"Error",IF(OR(คะแนน!B62=0,COUNT(คะแนน!B26:V28)=0),"",SUM(คะแนน!B26:V28)/IF(COUNT(คะแนน!B26:V28)=0,1,COUNT(คะแนน!B26:V28))))</f>
      </c>
      <c r="E58" s="220">
        <f>IF(COUNTIF(B58:D58,"Error")&gt;0,"Error",IF(SUM(B58:D58)=0,"",SUM(คะแนน!B23:V28)/IF(COUNT(คะแนน!B23:V28)=0,1,COUNT(คะแนน!B23:V28))))</f>
        <v>4.333333333333333</v>
      </c>
      <c r="F58" s="219" t="str">
        <f t="shared" si="2"/>
        <v>การดำเนินงานระดับดี</v>
      </c>
      <c r="G58" s="273"/>
    </row>
    <row r="59" spans="1:7" ht="43.5">
      <c r="A59" s="279" t="s">
        <v>123</v>
      </c>
      <c r="B59" s="220" t="str">
        <f>IF(COUNTIF(คะแนน!B29:V34,"Error")&gt;0,"Error",IF(OR(คะแนน!B62=0,COUNT(คะแนน!B29:V34)=0),"","-"))</f>
        <v>-</v>
      </c>
      <c r="C59" s="220">
        <f>IF(COUNTIF(คะแนน!B29:V34,"Error")&gt;0,"Error",IF(OR(คะแนน!B62=0,COUNT(คะแนน!B29:V30)=0),"",SUM(คะแนน!B29:V30)/IF(COUNT(คะแนน!B29:V30)=0,1,COUNT(คะแนน!B29:V30))))</f>
        <v>4.5</v>
      </c>
      <c r="D59" s="220">
        <f>IF(COUNTIF(คะแนน!B29:V34,"Error")&gt;0,"Error",IF(OR(คะแนน!B62=0,COUNT(คะแนน!B31:V34)=0),"",SUM(คะแนน!B31:V34)/IF(COUNT(คะแนน!B31:V34)=0,1,COUNT(คะแนน!B31:V34))))</f>
      </c>
      <c r="E59" s="220">
        <f>IF(COUNTIF(B59:D59,"Error")&gt;0,"Error",IF(SUM(B59:D59)=0,"",SUM(คะแนน!B29:V34)/IF(COUNT(คะแนน!B29:V34)=0,1,COUNT(คะแนน!B29:V34))))</f>
        <v>4.5</v>
      </c>
      <c r="F59" s="219" t="str">
        <f t="shared" si="2"/>
        <v>การดำเนินงานระดับดี</v>
      </c>
      <c r="G59" s="219"/>
    </row>
    <row r="60" spans="1:7" ht="43.5">
      <c r="A60" s="279" t="s">
        <v>124</v>
      </c>
      <c r="B60" s="220" t="str">
        <f>IF(COUNTIF(คะแนน!B35:V37,"Error")&gt;0,"Error",IF(OR(คะแนน!B62=0,COUNT(คะแนน!B35:V37)=0),"","-"))</f>
        <v>-</v>
      </c>
      <c r="C60" s="220">
        <f>IF(COUNTIF(คะแนน!B35:V37,"Error")&gt;0,"Error",IF(OR(คะแนน!B62=0,COUNT(คะแนน!B35:V35)=0),"",SUM(คะแนน!B35:V35)/IF(COUNT(คะแนน!B35:V35)=0,1,COUNT(คะแนน!B35:V35))))</f>
        <v>5</v>
      </c>
      <c r="D60" s="220">
        <f>IF(COUNTIF(คะแนน!B35:V37,"Error")&gt;0,"Error",IF(OR(คะแนน!B62=0,COUNT(คะแนน!B36:V37)=0),"",SUM(คะแนน!B36:V37)/IF(COUNT(คะแนน!B36:V37)=0,1,COUNT(คะแนน!B36:V37))))</f>
      </c>
      <c r="E60" s="220">
        <f>IF(COUNTIF(B60:D60,"Error")&gt;0,"Error",IF(SUM(B60:D60)=0,"",SUM(คะแนน!B35:V37)/IF(COUNT(คะแนน!B35:V37)=0,1,COUNT(คะแนน!B35:V37))))</f>
        <v>5</v>
      </c>
      <c r="F60" s="219" t="str">
        <f t="shared" si="2"/>
        <v>การดำเนินงานระดับดีมาก</v>
      </c>
      <c r="G60" s="219"/>
    </row>
    <row r="61" spans="1:7" ht="19.5" customHeight="1">
      <c r="A61" s="219" t="s">
        <v>125</v>
      </c>
      <c r="B61" s="220">
        <f>IF(COUNTIF(คะแนน!B25:V25,"Error")&gt;0,"Error",IF(OR(คะแนน!B62=0,COUNT(คะแนน!B25:V25)=0),"",SUM(คะแนน!B25:V25)/IF(COUNT(คะแนน!B25:V25)=0,1,COUNT(คะแนน!B25:V25))))</f>
        <v>5</v>
      </c>
      <c r="C61" s="220">
        <f>IF((COUNTIF(คะแนน!B14:V14,"Error")+COUNTIF(คะแนน!B21:V24,"Error")+COUNTIF(คะแนน!B29:V30,"Error")+COUNTIF(คะแนน!B35:V35,"Error"))&gt;0,"Error",IF(OR(คะแนน!B62=0,COUNT(คะแนน!B14:V14,คะแนน!B21:V24,คะแนน!B29:V30,คะแนน!B35:V35)=0),"",SUM(คะแนน!B14:V14,คะแนน!B21:V24,คะแนน!B29:V30,คะแนน!B35:V35)/IF(COUNT(คะแนน!B14:V14,คะแนน!B21:V24,คะแนน!B29:V30,คะแนน!B35:V35)=0,1,COUNT(คะแนน!B14:V14,คะแนน!B21:V24,คะแนน!B29:V30,คะแนน!B35:V35))))</f>
        <v>4.5</v>
      </c>
      <c r="D61" s="220">
        <f>IF((COUNTIF(คะแนน!B15:V19,"Error")+COUNTIF(คะแนน!B26:V28,"Error")+COUNTIF(คะแนน!B31:V34,"Error")+COUNTIF(คะแนน!B36:V37,"Error"))&gt;0,"Error",IF(OR(คะแนน!B62=0,COUNT(คะแนน!B15:V19,คะแนน!B26:V28,คะแนน!B31:V34,คะแนน!B36:V37)=0),"",SUM(คะแนน!B15:V19,คะแนน!B26:V28,คะแนน!B31:V34,คะแนน!B36:V37)/IF(COUNT(คะแนน!B15:V19,คะแนน!B26:V28,คะแนน!B31:V34,คะแนน!B36:V37)=0,1,COUNT(คะแนน!B15:V19,คะแนน!B26:V28,คะแนน!B31:V34,คะแนน!B36:V37))))</f>
        <v>4</v>
      </c>
      <c r="E61" s="220">
        <f>IF(COUNTIF(B61:D61,"Error")&gt;0,"Error",IF(COUNT(B61:D61)=0,"",SUM(คะแนน!B14:V19,คะแนน!B21:V37)/IF(COUNT(คะแนน!B14:V19,คะแนน!B21:V37)=0,1,COUNT(คะแนน!B14:V19,คะแนน!B21:V37))))</f>
        <v>4.5</v>
      </c>
      <c r="F61" s="219" t="str">
        <f t="shared" si="2"/>
        <v>การดำเนินงานระดับดี</v>
      </c>
      <c r="G61" s="219"/>
    </row>
    <row r="62" spans="1:7" ht="45">
      <c r="A62" s="221" t="s">
        <v>114</v>
      </c>
      <c r="B62" s="220">
        <f>IF((COUNTIF(B51:B54,"Error")+COUNTIF(B57:B60,"Error"))&gt;0,"Error",IF(SUM(B51:B54,B57:B60)=0,"",SUM(คะแนน!B9:V10,คะแนน!B12:V12,คะแนน!B25:V25)/IF(COUNT(คะแนน!B9:V10,คะแนน!B12:V12,คะแนน!B25:V25)=0,1,COUNT(คะแนน!B9:V10,คะแนน!B12:V12,คะแนน!B25:V25))))</f>
        <v>2.5</v>
      </c>
      <c r="C62" s="220">
        <f>IF((COUNTIF(C51:C54,"Error")+COUNTIF(C57:C60,"Error"))&gt;0,"Error",IF(SUM(C51:C54,C57:C60)=0,"",SUM(คะแนน!B4:V4,คะแนน!B8:V8,คะแนน!B11:V11,คะแนน!B13:V14,คะแนน!B21:V24,คะแนน!B29:V30,คะแนน!B35:V35,คะแนน!B38:V41,คะแนน!B44:V45)/IF(COUNT(คะแนน!B4:V4,คะแนน!B8:V8,คะแนน!B11:V11,คะแนน!B13:V14,คะแนน!B21:V24,คะแนน!B29:V30,คะแนน!B35:V35,คะแนน!B38:V41,คะแนน!B44:V45)=0,1,COUNT(คะแนน!B4:V4,คะแนน!B8:V8,คะแนน!B11:V11,คะแนน!B13:V14,คะแนน!B21:V24,คะแนน!B29:V30,คะแนน!B35:V35,คะแนน!B38:V41,คะแนน!B44:V45))))</f>
        <v>4.388888888888889</v>
      </c>
      <c r="D62" s="220">
        <f>IF((COUNTIF(D51:D54,"Error")+COUNTIF(D57:D60,"Error"))&gt;0,"Error",IF(SUM(D51:D54,D57:D60)=0,"",SUM(คะแนน!B5:V7,คะแนน!B15:V20,คะแนน!B26:V28,คะแนน!B31:V34,คะแนน!B36:V37,คะแนน!B42:V43)/IF(COUNT(คะแนน!B5:V7,คะแนน!B15:V20,คะแนน!B26:V28,คะแนน!B31:V34,คะแนน!B36:V37,คะแนน!B42:V43)=0,1,COUNT(คะแนน!B5:V7,คะแนน!B15:V20,คะแนน!B26:V28,คะแนน!B31:V34,คะแนน!B36:V37,คะแนน!B42:V43))))</f>
        <v>4.5</v>
      </c>
      <c r="E62" s="220">
        <f>IF((COUNTIF(E51:E54,"Error")+COUNTIF(E57:E60,"Error"))&gt;0,"Error",IF(SUM(E51:E54,E57:E60)=0,"",SUM(คะแนน!B4:V45)/IF(COUNT(คะแนน!B4:V45)=0,1,COUNT(คะแนน!B4:V45))))</f>
        <v>4.083333333333333</v>
      </c>
      <c r="F62" s="219" t="str">
        <f t="shared" si="2"/>
        <v>การดำเนินงานระดับดี</v>
      </c>
      <c r="G62" s="219"/>
    </row>
    <row r="63" spans="1:7" ht="67.5" customHeight="1">
      <c r="A63" s="219" t="s">
        <v>29</v>
      </c>
      <c r="B63" s="197" t="str">
        <f>IF(B62="","",IF(B62&lt;=1.5,"การดำเนินงานต้องปรับปรุงเร่งด่วน",IF(B62&lt;=2.5,"การดำเนินงานต้องปรับปรุง",IF(B62&lt;=3.5,"การดำเนินงานระดับพอใช้",IF(B62&lt;=4.5,"การดำเนินงานระดับดี",IF(B62&lt;=5,"การดำเนินงานระดับดีมาก","ข้อมูลผิด"))))))</f>
        <v>การดำเนินงานต้องปรับปรุง</v>
      </c>
      <c r="C63" s="197" t="str">
        <f>IF(C62="","",IF(C62&lt;=1.5,"การดำเนินงานต้องปรับปรุงเร่งด่วน",IF(C62&lt;=2.5,"การดำเนินงานต้องปรับปรุง",IF(C62&lt;=3.5,"การดำเนินงานระดับพอใช้",IF(C62&lt;=4.5,"การดำเนินงานระดับดี",IF(C62&lt;=5,"การดำเนินงานระดับดีมาก","ข้อมูลผิด"))))))</f>
        <v>การดำเนินงานระดับดี</v>
      </c>
      <c r="D63" s="197" t="str">
        <f>IF(D62="","",IF(D62&lt;=1.5,"การดำเนินงานต้องปรับปรุงเร่งด่วน",IF(D62&lt;=2.5,"การดำเนินงานต้องปรับปรุง",IF(D62&lt;=3.5,"การดำเนินงานระดับพอใช้",IF(D62&lt;=4.5,"การดำเนินงานระดับดี",IF(D62&lt;=5,"การดำเนินงานระดับดีมาก","ข้อมูลผิด"))))))</f>
        <v>การดำเนินงานระดับดี</v>
      </c>
      <c r="E63" s="197" t="str">
        <f>IF(E62="","",IF(E62&lt;=1.5,"การดำเนินงานต้องปรับปรุงเร่งด่วน",IF(E62&lt;=2.5,"การดำเนินงานต้องปรับปรุง",IF(E62&lt;=3.5,"การดำเนินงานระดับพอใช้",IF(E62&lt;=4.5,"การดำเนินงานระดับดี",IF(E62&lt;=5,"การดำเนินงานระดับดีมาก","ข้อมูลผิด"))))))</f>
        <v>การดำเนินงานระดับดี</v>
      </c>
      <c r="F63" s="222"/>
      <c r="G63" s="219"/>
    </row>
  </sheetData>
  <sheetProtection password="CC53" sheet="1"/>
  <mergeCells count="27">
    <mergeCell ref="A2:A7"/>
    <mergeCell ref="G23:G28"/>
    <mergeCell ref="B26:B28"/>
    <mergeCell ref="C26:C28"/>
    <mergeCell ref="D26:D28"/>
    <mergeCell ref="E26:E28"/>
    <mergeCell ref="A8:E8"/>
    <mergeCell ref="B2:E4"/>
    <mergeCell ref="A14:E14"/>
    <mergeCell ref="A23:A28"/>
    <mergeCell ref="G44:G49"/>
    <mergeCell ref="B47:B49"/>
    <mergeCell ref="C47:C49"/>
    <mergeCell ref="D47:D49"/>
    <mergeCell ref="E47:E49"/>
    <mergeCell ref="G2:G7"/>
    <mergeCell ref="B5:B7"/>
    <mergeCell ref="C5:C7"/>
    <mergeCell ref="E5:E7"/>
    <mergeCell ref="D5:D7"/>
    <mergeCell ref="B23:E25"/>
    <mergeCell ref="A56:E56"/>
    <mergeCell ref="A29:E29"/>
    <mergeCell ref="A35:E35"/>
    <mergeCell ref="A44:A49"/>
    <mergeCell ref="B44:E46"/>
    <mergeCell ref="A50:E50"/>
  </mergeCells>
  <printOptions horizontalCentered="1"/>
  <pageMargins left="0.75" right="0.75" top="0.5" bottom="0.25" header="0.25" footer="0.3"/>
  <pageSetup horizontalDpi="600" verticalDpi="600" orientation="landscape" paperSize="9" r:id="rId2"/>
  <rowBreaks count="2" manualBreakCount="2">
    <brk id="21" max="6" man="1"/>
    <brk id="4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svoa108</dc:creator>
  <cp:keywords/>
  <dc:description/>
  <cp:lastModifiedBy>HP</cp:lastModifiedBy>
  <cp:lastPrinted>2011-08-02T04:51:58Z</cp:lastPrinted>
  <dcterms:created xsi:type="dcterms:W3CDTF">2010-10-14T07:48:37Z</dcterms:created>
  <dcterms:modified xsi:type="dcterms:W3CDTF">2011-08-02T10:27:29Z</dcterms:modified>
  <cp:category/>
  <cp:version/>
  <cp:contentType/>
  <cp:contentStatus/>
</cp:coreProperties>
</file>